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ddeleon\Downloads\"/>
    </mc:Choice>
  </mc:AlternateContent>
  <xr:revisionPtr revIDLastSave="0" documentId="13_ncr:1_{4ACC6C91-3FEB-46B5-86C3-57EE58D9E09D}" xr6:coauthVersionLast="37" xr6:coauthVersionMax="47" xr10:uidLastSave="{00000000-0000-0000-0000-000000000000}"/>
  <bookViews>
    <workbookView xWindow="0" yWindow="0" windowWidth="20490" windowHeight="7545" tabRatio="871" xr2:uid="{060EE1ED-0544-4391-970D-646C35BDE0BB}"/>
  </bookViews>
  <sheets>
    <sheet name="Pricelist Standard" sheetId="1" r:id="rId1"/>
    <sheet name="Pricelist Step up" sheetId="14" state="hidden" r:id="rId2"/>
    <sheet name="FORM" sheetId="15" r:id="rId3"/>
    <sheet name="All Out Promo" sheetId="13" state="hidden" r:id="rId4"/>
    <sheet name="LMF - HOUSE &amp; LOT" sheetId="22" state="hidden" r:id="rId5"/>
    <sheet name="LMF - LOT ONLY" sheetId="12" state="hidden" r:id="rId6"/>
    <sheet name="SPC San Diego A" sheetId="2" state="hidden" r:id="rId7"/>
    <sheet name="SPC San Diego B" sheetId="3" state="hidden" r:id="rId8"/>
    <sheet name="SPC San Diego C" sheetId="4" state="hidden" r:id="rId9"/>
    <sheet name="SPC San Esteban A" sheetId="5" state="hidden" r:id="rId10"/>
    <sheet name="SPC San Esteban B" sheetId="6" state="hidden" r:id="rId11"/>
    <sheet name="Standard Computation" sheetId="7" r:id="rId12"/>
    <sheet name="SPC Pine Road A" sheetId="9" state="hidden" r:id="rId13"/>
    <sheet name="Step Up Computation" sheetId="16" state="hidden" r:id="rId14"/>
    <sheet name="Spot Cash 30 Days" sheetId="17" r:id="rId15"/>
    <sheet name="Spot Cash 60 Days" sheetId="18" r:id="rId16"/>
    <sheet name="SPECIAL Computation" sheetId="19" r:id="rId17"/>
  </sheets>
  <externalReferences>
    <externalReference r:id="rId18"/>
    <externalReference r:id="rId19"/>
  </externalReferences>
  <definedNames>
    <definedName name="_xlnm._FilterDatabase" localSheetId="0" hidden="1">'Pricelist Standard'!$A$8:$AX$18</definedName>
    <definedName name="_xlnm._FilterDatabase" localSheetId="1" hidden="1">'Pricelist Step up'!$B$8:$AG$8</definedName>
    <definedName name="_xlnm.Print_Area" localSheetId="16">'SPECIAL Computation'!$A$1:$Q$50</definedName>
    <definedName name="_xlnm.Print_Area" localSheetId="14">'Spot Cash 30 Days'!$A$1:$Q$50</definedName>
    <definedName name="_xlnm.Print_Area" localSheetId="15">'Spot Cash 60 Days'!$A$1:$Y$33</definedName>
    <definedName name="_xlnm.Print_Area" localSheetId="11">'Standard Computation'!$A$1:$Q$50</definedName>
    <definedName name="_xlnm.Print_Area" localSheetId="13">'Step Up Computation'!$A$1:$Q$53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0" i="1" l="1"/>
  <c r="AK11" i="1"/>
  <c r="AK12" i="1" s="1"/>
  <c r="AK13" i="1" s="1"/>
  <c r="AK14" i="1" s="1"/>
  <c r="AK15" i="1" s="1"/>
  <c r="AK16" i="1" s="1"/>
  <c r="AK17" i="1" s="1"/>
  <c r="E10" i="15"/>
  <c r="E24" i="7" s="1"/>
  <c r="AM7" i="1"/>
  <c r="AV11" i="12"/>
  <c r="AV12" i="12"/>
  <c r="AQ11" i="12"/>
  <c r="AL11" i="12"/>
  <c r="AG11" i="12"/>
  <c r="AB11" i="12"/>
  <c r="W11" i="12"/>
  <c r="R11" i="12"/>
  <c r="M11" i="12"/>
  <c r="H11" i="12"/>
  <c r="C11" i="12"/>
  <c r="C12" i="12"/>
  <c r="AV13" i="12"/>
  <c r="AV14" i="12"/>
  <c r="AQ12" i="12"/>
  <c r="AQ13" i="12"/>
  <c r="AQ14" i="12" s="1"/>
  <c r="AL12" i="12"/>
  <c r="AL13" i="12"/>
  <c r="AG12" i="12"/>
  <c r="AG13" i="12"/>
  <c r="AG14" i="12" s="1"/>
  <c r="AB12" i="12"/>
  <c r="AC28" i="12"/>
  <c r="AB13" i="12"/>
  <c r="AB14" i="12"/>
  <c r="X26" i="12"/>
  <c r="W13" i="12"/>
  <c r="W12" i="12"/>
  <c r="W14" i="12"/>
  <c r="R12" i="12"/>
  <c r="R13" i="12"/>
  <c r="M12" i="12"/>
  <c r="M13" i="12"/>
  <c r="M14" i="12"/>
  <c r="H12" i="12"/>
  <c r="H13" i="12"/>
  <c r="C13" i="12"/>
  <c r="C14" i="12"/>
  <c r="X28" i="12"/>
  <c r="S28" i="12"/>
  <c r="S48" i="12"/>
  <c r="AW48" i="12"/>
  <c r="AR28" i="12"/>
  <c r="AC26" i="12"/>
  <c r="AH48" i="12"/>
  <c r="AC27" i="12"/>
  <c r="AM48" i="12"/>
  <c r="AC48" i="12"/>
  <c r="AM28" i="12"/>
  <c r="AM26" i="12"/>
  <c r="AW28" i="12"/>
  <c r="AH28" i="12"/>
  <c r="AH27" i="12"/>
  <c r="AW33" i="12"/>
  <c r="AR47" i="12"/>
  <c r="AR32" i="12"/>
  <c r="AM47" i="12"/>
  <c r="AM32" i="12"/>
  <c r="AH30" i="12"/>
  <c r="AC45" i="12"/>
  <c r="AC29" i="12"/>
  <c r="X45" i="12"/>
  <c r="X29" i="12"/>
  <c r="S44" i="12"/>
  <c r="AH44" i="12"/>
  <c r="AC43" i="12"/>
  <c r="AW47" i="12"/>
  <c r="AW32" i="12"/>
  <c r="AR46" i="12"/>
  <c r="AR31" i="12"/>
  <c r="AM46" i="12"/>
  <c r="AM31" i="12"/>
  <c r="AH45" i="12"/>
  <c r="AH29" i="12"/>
  <c r="AC44" i="12"/>
  <c r="X44" i="12"/>
  <c r="S43" i="12"/>
  <c r="AR30" i="12"/>
  <c r="AM30" i="12"/>
  <c r="X43" i="12"/>
  <c r="S42" i="12"/>
  <c r="AC42" i="12"/>
  <c r="S25" i="12"/>
  <c r="AR34" i="12"/>
  <c r="X31" i="12"/>
  <c r="S45" i="12"/>
  <c r="AW46" i="12"/>
  <c r="AW31" i="12"/>
  <c r="AC32" i="12"/>
  <c r="AW30" i="12"/>
  <c r="AR45" i="12"/>
  <c r="AR29" i="12"/>
  <c r="AM45" i="12"/>
  <c r="AM29" i="12"/>
  <c r="AH43" i="12"/>
  <c r="X42" i="12"/>
  <c r="S41" i="12"/>
  <c r="X32" i="12"/>
  <c r="AC31" i="12"/>
  <c r="AH46" i="12"/>
  <c r="AW45" i="12"/>
  <c r="AW29" i="12"/>
  <c r="AR44" i="12"/>
  <c r="AM44" i="12"/>
  <c r="AH42" i="12"/>
  <c r="AC41" i="12"/>
  <c r="AC25" i="12"/>
  <c r="X41" i="12"/>
  <c r="X25" i="12"/>
  <c r="S40" i="12"/>
  <c r="S24" i="12"/>
  <c r="X47" i="12"/>
  <c r="X46" i="12"/>
  <c r="AH31" i="12"/>
  <c r="AW44" i="12"/>
  <c r="AR43" i="12"/>
  <c r="AM43" i="12"/>
  <c r="AH41" i="12"/>
  <c r="AH25" i="12"/>
  <c r="AC40" i="12"/>
  <c r="AC24" i="12"/>
  <c r="X40" i="12"/>
  <c r="X24" i="12"/>
  <c r="S39" i="12"/>
  <c r="S22" i="12"/>
  <c r="AH19" i="12"/>
  <c r="AM20" i="12"/>
  <c r="AM34" i="12"/>
  <c r="S30" i="12"/>
  <c r="AW43" i="12"/>
  <c r="AR42" i="12"/>
  <c r="AM42" i="12"/>
  <c r="AH40" i="12"/>
  <c r="AH24" i="12"/>
  <c r="AC39" i="12"/>
  <c r="AC22" i="12"/>
  <c r="X39" i="12"/>
  <c r="X22" i="12"/>
  <c r="S38" i="12"/>
  <c r="S20" i="12"/>
  <c r="AC36" i="12"/>
  <c r="S35" i="12"/>
  <c r="AR22" i="12"/>
  <c r="AC34" i="12"/>
  <c r="S32" i="12"/>
  <c r="AW42" i="12"/>
  <c r="AR41" i="12"/>
  <c r="AM41" i="12"/>
  <c r="AM25" i="12"/>
  <c r="AH39" i="12"/>
  <c r="AH22" i="12"/>
  <c r="AC38" i="12"/>
  <c r="AC20" i="12"/>
  <c r="X38" i="12"/>
  <c r="X20" i="12"/>
  <c r="S37" i="12"/>
  <c r="S19" i="12"/>
  <c r="AH36" i="12"/>
  <c r="X35" i="12"/>
  <c r="S34" i="12"/>
  <c r="S47" i="12"/>
  <c r="AC30" i="12"/>
  <c r="AW41" i="12"/>
  <c r="AR40" i="12"/>
  <c r="AR25" i="12"/>
  <c r="AM40" i="12"/>
  <c r="AM24" i="12"/>
  <c r="AH38" i="12"/>
  <c r="AH20" i="12"/>
  <c r="AC37" i="12"/>
  <c r="AC19" i="12"/>
  <c r="X37" i="12"/>
  <c r="X19" i="12"/>
  <c r="S36" i="12"/>
  <c r="X36" i="12"/>
  <c r="AR38" i="12"/>
  <c r="AM38" i="12"/>
  <c r="S31" i="12"/>
  <c r="AH32" i="12"/>
  <c r="AR33" i="12"/>
  <c r="S29" i="12"/>
  <c r="AW40" i="12"/>
  <c r="AW25" i="12"/>
  <c r="AR39" i="12"/>
  <c r="AR24" i="12"/>
  <c r="AM39" i="12"/>
  <c r="AM22" i="12"/>
  <c r="AH37" i="12"/>
  <c r="AC33" i="12"/>
  <c r="S46" i="12"/>
  <c r="AH47" i="12"/>
  <c r="AM33" i="12"/>
  <c r="AW39" i="12"/>
  <c r="AW24" i="12"/>
  <c r="AC35" i="12"/>
  <c r="AW38" i="12"/>
  <c r="AW22" i="12"/>
  <c r="AR37" i="12"/>
  <c r="AR20" i="12"/>
  <c r="AM37" i="12"/>
  <c r="AM19" i="12"/>
  <c r="AH35" i="12"/>
  <c r="X34" i="12"/>
  <c r="S33" i="12"/>
  <c r="X33" i="12"/>
  <c r="AW35" i="12"/>
  <c r="X30" i="12"/>
  <c r="AW37" i="12"/>
  <c r="AW20" i="12"/>
  <c r="AR36" i="12"/>
  <c r="AR19" i="12"/>
  <c r="AM36" i="12"/>
  <c r="AH34" i="12"/>
  <c r="AW34" i="12"/>
  <c r="AW36" i="12"/>
  <c r="AW19" i="12"/>
  <c r="AR35" i="12"/>
  <c r="AM35" i="12"/>
  <c r="AH33" i="12"/>
  <c r="AC47" i="12"/>
  <c r="AC46" i="12"/>
  <c r="AR48" i="12"/>
  <c r="AR26" i="12"/>
  <c r="AM27" i="12"/>
  <c r="S26" i="12"/>
  <c r="S27" i="12"/>
  <c r="X27" i="12"/>
  <c r="AW26" i="12"/>
  <c r="AH26" i="12"/>
  <c r="H14" i="12"/>
  <c r="AL14" i="12"/>
  <c r="R14" i="12"/>
  <c r="R50" i="12"/>
  <c r="AV50" i="12"/>
  <c r="AW50" i="12"/>
  <c r="AQ50" i="12"/>
  <c r="AR50" i="12"/>
  <c r="AR27" i="12"/>
  <c r="AB50" i="12"/>
  <c r="AC50" i="12"/>
  <c r="AW27" i="12"/>
  <c r="AL50" i="12"/>
  <c r="AM50" i="12"/>
  <c r="W50" i="12"/>
  <c r="W52" i="12"/>
  <c r="W53" i="12"/>
  <c r="X48" i="12"/>
  <c r="AG50" i="12"/>
  <c r="R52" i="12"/>
  <c r="R53" i="12"/>
  <c r="E10" i="14"/>
  <c r="E11" i="14"/>
  <c r="E12" i="14"/>
  <c r="E13" i="14"/>
  <c r="E14" i="14"/>
  <c r="E15" i="14"/>
  <c r="E16" i="14"/>
  <c r="E17" i="14"/>
  <c r="E18" i="14"/>
  <c r="E9" i="14"/>
  <c r="E28" i="1"/>
  <c r="E29" i="1"/>
  <c r="E30" i="1"/>
  <c r="E31" i="1"/>
  <c r="E32" i="1"/>
  <c r="E33" i="1"/>
  <c r="E34" i="1"/>
  <c r="E35" i="1"/>
  <c r="F35" i="1"/>
  <c r="E36" i="1"/>
  <c r="E27" i="1"/>
  <c r="V18" i="14"/>
  <c r="H10" i="14"/>
  <c r="I10" i="14"/>
  <c r="J10" i="14"/>
  <c r="H11" i="14"/>
  <c r="I11" i="14"/>
  <c r="J11" i="14"/>
  <c r="H12" i="14"/>
  <c r="I12" i="14"/>
  <c r="J12" i="14"/>
  <c r="H13" i="14"/>
  <c r="I13" i="14"/>
  <c r="J13" i="14"/>
  <c r="H14" i="14"/>
  <c r="I14" i="14"/>
  <c r="J14" i="14"/>
  <c r="H15" i="14"/>
  <c r="I15" i="14"/>
  <c r="J15" i="14"/>
  <c r="H16" i="14"/>
  <c r="I16" i="14"/>
  <c r="J16" i="14"/>
  <c r="H17" i="14"/>
  <c r="I17" i="14"/>
  <c r="J17" i="14"/>
  <c r="H18" i="14"/>
  <c r="I18" i="14"/>
  <c r="J18" i="14"/>
  <c r="J9" i="14"/>
  <c r="I9" i="14"/>
  <c r="H9" i="14"/>
  <c r="C10" i="14"/>
  <c r="C11" i="14"/>
  <c r="C12" i="14"/>
  <c r="C13" i="14"/>
  <c r="C14" i="14"/>
  <c r="C15" i="14"/>
  <c r="C16" i="14"/>
  <c r="C17" i="14"/>
  <c r="C18" i="14"/>
  <c r="C9" i="14"/>
  <c r="AH18" i="14"/>
  <c r="AQ52" i="12"/>
  <c r="AQ53" i="12"/>
  <c r="AV52" i="12"/>
  <c r="AV53" i="12"/>
  <c r="AL52" i="12"/>
  <c r="AL53" i="12"/>
  <c r="S50" i="12"/>
  <c r="X50" i="12"/>
  <c r="AB52" i="12"/>
  <c r="AB53" i="12"/>
  <c r="AH50" i="12"/>
  <c r="AG52" i="12"/>
  <c r="AG53" i="12"/>
  <c r="I18" i="1"/>
  <c r="L18" i="1"/>
  <c r="D37" i="1"/>
  <c r="C36" i="1"/>
  <c r="C28" i="1"/>
  <c r="C29" i="1"/>
  <c r="C30" i="1"/>
  <c r="C31" i="1"/>
  <c r="C32" i="1"/>
  <c r="C33" i="1"/>
  <c r="C34" i="1"/>
  <c r="C35" i="1"/>
  <c r="C27" i="1"/>
  <c r="M10" i="1"/>
  <c r="M11" i="1"/>
  <c r="N11" i="1" s="1"/>
  <c r="P11" i="1" s="1"/>
  <c r="S11" i="1" s="1"/>
  <c r="M12" i="1"/>
  <c r="M13" i="1"/>
  <c r="M14" i="1"/>
  <c r="M15" i="1"/>
  <c r="N15" i="1" s="1"/>
  <c r="P15" i="1" s="1"/>
  <c r="S15" i="1" s="1"/>
  <c r="M16" i="1"/>
  <c r="N16" i="1" s="1"/>
  <c r="P16" i="1" s="1"/>
  <c r="S16" i="1" s="1"/>
  <c r="M17" i="1"/>
  <c r="N17" i="1"/>
  <c r="P17" i="1" s="1"/>
  <c r="S17" i="1" s="1"/>
  <c r="U17" i="1" s="1"/>
  <c r="K17" i="1"/>
  <c r="K17" i="14" s="1"/>
  <c r="O48" i="19"/>
  <c r="K48" i="19"/>
  <c r="D46" i="19"/>
  <c r="D45" i="19"/>
  <c r="C36" i="19"/>
  <c r="C37" i="19"/>
  <c r="D37" i="19"/>
  <c r="C35" i="19"/>
  <c r="D35" i="19"/>
  <c r="D34" i="19"/>
  <c r="D25" i="19"/>
  <c r="E20" i="19"/>
  <c r="S19" i="19"/>
  <c r="S20" i="19"/>
  <c r="B13" i="19"/>
  <c r="K13" i="19"/>
  <c r="B12" i="19"/>
  <c r="K12" i="19"/>
  <c r="B11" i="19"/>
  <c r="K11" i="19"/>
  <c r="K10" i="19"/>
  <c r="E10" i="19"/>
  <c r="N10" i="19" s="1"/>
  <c r="N9" i="19"/>
  <c r="K9" i="19"/>
  <c r="K8" i="19"/>
  <c r="E8" i="19"/>
  <c r="N8" i="19" s="1"/>
  <c r="K7" i="19"/>
  <c r="E7" i="19"/>
  <c r="N7" i="19" s="1"/>
  <c r="K6" i="19"/>
  <c r="E6" i="19"/>
  <c r="N6" i="19"/>
  <c r="W26" i="18"/>
  <c r="S26" i="18"/>
  <c r="O26" i="18"/>
  <c r="K26" i="18"/>
  <c r="D26" i="18"/>
  <c r="E21" i="18"/>
  <c r="B13" i="18"/>
  <c r="K13" i="18"/>
  <c r="S13" i="18"/>
  <c r="B12" i="18"/>
  <c r="K12" i="18"/>
  <c r="S12" i="18"/>
  <c r="B11" i="18"/>
  <c r="K11" i="18"/>
  <c r="S11" i="18"/>
  <c r="K10" i="18"/>
  <c r="S10" i="18"/>
  <c r="E10" i="18"/>
  <c r="N10" i="18" s="1"/>
  <c r="V10" i="18" s="1"/>
  <c r="N9" i="18"/>
  <c r="V9" i="18"/>
  <c r="K9" i="18"/>
  <c r="S9" i="18"/>
  <c r="K8" i="18"/>
  <c r="S8" i="18"/>
  <c r="E8" i="18"/>
  <c r="N8" i="18" s="1"/>
  <c r="V8" i="18" s="1"/>
  <c r="K7" i="18"/>
  <c r="S7" i="18" s="1"/>
  <c r="E7" i="18"/>
  <c r="N7" i="18"/>
  <c r="V7" i="18" s="1"/>
  <c r="K6" i="18"/>
  <c r="S6" i="18"/>
  <c r="E6" i="18"/>
  <c r="N6" i="18"/>
  <c r="V6" i="18"/>
  <c r="O26" i="17"/>
  <c r="K26" i="17"/>
  <c r="D26" i="17"/>
  <c r="E21" i="17"/>
  <c r="S19" i="17"/>
  <c r="S20" i="17"/>
  <c r="B13" i="17"/>
  <c r="K13" i="17"/>
  <c r="B12" i="17"/>
  <c r="K12" i="17"/>
  <c r="B11" i="17"/>
  <c r="K11" i="17"/>
  <c r="K10" i="17"/>
  <c r="E10" i="17"/>
  <c r="N10" i="17" s="1"/>
  <c r="N9" i="17"/>
  <c r="K9" i="17"/>
  <c r="K8" i="17"/>
  <c r="E8" i="17"/>
  <c r="N8" i="17" s="1"/>
  <c r="K7" i="17"/>
  <c r="E7" i="17"/>
  <c r="N7" i="17" s="1"/>
  <c r="K6" i="17"/>
  <c r="E6" i="17"/>
  <c r="N6" i="17"/>
  <c r="E30" i="16"/>
  <c r="E31" i="16"/>
  <c r="E29" i="16"/>
  <c r="D1" i="14"/>
  <c r="E1" i="14"/>
  <c r="F1" i="14"/>
  <c r="G1" i="14"/>
  <c r="H1" i="14"/>
  <c r="I1" i="14"/>
  <c r="J1" i="14"/>
  <c r="K1" i="14"/>
  <c r="O48" i="16"/>
  <c r="K48" i="16"/>
  <c r="D50" i="16"/>
  <c r="D49" i="16"/>
  <c r="C40" i="16"/>
  <c r="C41" i="16"/>
  <c r="D41" i="16"/>
  <c r="C39" i="16"/>
  <c r="D39" i="16"/>
  <c r="D38" i="16"/>
  <c r="D25" i="16"/>
  <c r="E20" i="16"/>
  <c r="S19" i="16"/>
  <c r="S20" i="16"/>
  <c r="B13" i="16"/>
  <c r="K13" i="16"/>
  <c r="B12" i="16"/>
  <c r="K12" i="16"/>
  <c r="B11" i="16"/>
  <c r="K11" i="16"/>
  <c r="K10" i="16"/>
  <c r="E10" i="16"/>
  <c r="N10" i="16"/>
  <c r="N9" i="16"/>
  <c r="K9" i="16"/>
  <c r="K8" i="16"/>
  <c r="E8" i="16"/>
  <c r="N8" i="16" s="1"/>
  <c r="K7" i="16"/>
  <c r="E7" i="16"/>
  <c r="N7" i="16" s="1"/>
  <c r="K6" i="16"/>
  <c r="E6" i="16"/>
  <c r="N6" i="16"/>
  <c r="K7" i="7"/>
  <c r="K8" i="7"/>
  <c r="K9" i="7"/>
  <c r="K10" i="7"/>
  <c r="K6" i="7"/>
  <c r="O49" i="7"/>
  <c r="K4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E14" i="15"/>
  <c r="C2" i="7" s="1"/>
  <c r="M17" i="7" s="1"/>
  <c r="U17" i="7" s="1"/>
  <c r="C37" i="7"/>
  <c r="C38" i="7"/>
  <c r="C39" i="7"/>
  <c r="E33" i="15"/>
  <c r="E12" i="7" s="1"/>
  <c r="N12" i="7" s="1"/>
  <c r="E32" i="15"/>
  <c r="E11" i="7" s="1"/>
  <c r="B12" i="7"/>
  <c r="K12" i="7"/>
  <c r="B13" i="7"/>
  <c r="K13" i="7"/>
  <c r="B11" i="7"/>
  <c r="K11" i="7"/>
  <c r="E8" i="7"/>
  <c r="E6" i="7"/>
  <c r="H29" i="15"/>
  <c r="O18" i="1"/>
  <c r="L1" i="14"/>
  <c r="M1" i="14"/>
  <c r="N1" i="14"/>
  <c r="O1" i="14"/>
  <c r="P1" i="14"/>
  <c r="Q1" i="14"/>
  <c r="R1" i="14"/>
  <c r="T1" i="14"/>
  <c r="U1" i="14"/>
  <c r="V1" i="14"/>
  <c r="W1" i="14"/>
  <c r="X1" i="14"/>
  <c r="Y1" i="14"/>
  <c r="Z1" i="14"/>
  <c r="AA1" i="14"/>
  <c r="AB1" i="14"/>
  <c r="AC1" i="14"/>
  <c r="AD1" i="14"/>
  <c r="AE1" i="14"/>
  <c r="D36" i="19"/>
  <c r="S21" i="19"/>
  <c r="S21" i="17"/>
  <c r="S22" i="17"/>
  <c r="D40" i="16"/>
  <c r="S21" i="16"/>
  <c r="S22" i="19"/>
  <c r="S23" i="17"/>
  <c r="S22" i="16"/>
  <c r="S23" i="19"/>
  <c r="S24" i="17"/>
  <c r="S23" i="16"/>
  <c r="AV4" i="22"/>
  <c r="AV12" i="22" s="1"/>
  <c r="AV4" i="12"/>
  <c r="AV51" i="12"/>
  <c r="L18" i="14"/>
  <c r="S24" i="19"/>
  <c r="S25" i="17"/>
  <c r="S24" i="16"/>
  <c r="S25" i="19"/>
  <c r="S26" i="17"/>
  <c r="S25" i="16"/>
  <c r="S26" i="19"/>
  <c r="S27" i="17"/>
  <c r="S26" i="16"/>
  <c r="S27" i="19"/>
  <c r="S28" i="17"/>
  <c r="S27" i="16"/>
  <c r="S28" i="19"/>
  <c r="S29" i="17"/>
  <c r="S28" i="16"/>
  <c r="S29" i="19"/>
  <c r="S30" i="17"/>
  <c r="S29" i="16"/>
  <c r="S30" i="19"/>
  <c r="S31" i="17"/>
  <c r="S30" i="16"/>
  <c r="S31" i="19"/>
  <c r="S32" i="17"/>
  <c r="S31" i="16"/>
  <c r="S32" i="19"/>
  <c r="S33" i="17"/>
  <c r="S32" i="16"/>
  <c r="S33" i="19"/>
  <c r="S34" i="17"/>
  <c r="S33" i="16"/>
  <c r="S34" i="19"/>
  <c r="S35" i="17"/>
  <c r="S34" i="16"/>
  <c r="S35" i="19"/>
  <c r="S36" i="17"/>
  <c r="S35" i="16"/>
  <c r="S36" i="19"/>
  <c r="S37" i="17"/>
  <c r="S36" i="16"/>
  <c r="S37" i="19"/>
  <c r="S38" i="17"/>
  <c r="S37" i="16"/>
  <c r="S38" i="19"/>
  <c r="S39" i="17"/>
  <c r="S38" i="16"/>
  <c r="S39" i="19"/>
  <c r="S40" i="17"/>
  <c r="S39" i="16"/>
  <c r="S40" i="19"/>
  <c r="S41" i="17"/>
  <c r="S40" i="16"/>
  <c r="S41" i="19"/>
  <c r="S41" i="16"/>
  <c r="E6" i="15"/>
  <c r="E10" i="7" s="1"/>
  <c r="N10" i="7" s="1"/>
  <c r="B1" i="1"/>
  <c r="D1" i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K1" i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E2" i="15"/>
  <c r="E24" i="19"/>
  <c r="E29" i="19"/>
  <c r="H5" i="1"/>
  <c r="K10" i="1"/>
  <c r="K10" i="14" s="1"/>
  <c r="K11" i="1"/>
  <c r="K11" i="14" s="1"/>
  <c r="K12" i="1"/>
  <c r="K12" i="14" s="1"/>
  <c r="K13" i="1"/>
  <c r="K13" i="14" s="1"/>
  <c r="K14" i="1"/>
  <c r="K14" i="14"/>
  <c r="K15" i="1"/>
  <c r="K15" i="14" s="1"/>
  <c r="K16" i="1"/>
  <c r="K16" i="14" s="1"/>
  <c r="K18" i="14"/>
  <c r="K9" i="1"/>
  <c r="K9" i="14"/>
  <c r="E7" i="7"/>
  <c r="V10" i="14"/>
  <c r="V11" i="14"/>
  <c r="V12" i="14"/>
  <c r="V13" i="14"/>
  <c r="V14" i="14"/>
  <c r="V15" i="14"/>
  <c r="V17" i="14"/>
  <c r="V9" i="14"/>
  <c r="B10" i="14"/>
  <c r="B11" i="14"/>
  <c r="B12" i="14"/>
  <c r="B13" i="14"/>
  <c r="B14" i="14"/>
  <c r="B15" i="14"/>
  <c r="B16" i="14"/>
  <c r="B17" i="14"/>
  <c r="B18" i="14"/>
  <c r="AA7" i="14"/>
  <c r="H5" i="14"/>
  <c r="N12" i="1"/>
  <c r="P12" i="1" s="1"/>
  <c r="S12" i="1" s="1"/>
  <c r="N13" i="1"/>
  <c r="P13" i="1" s="1"/>
  <c r="S13" i="1" s="1"/>
  <c r="N14" i="1"/>
  <c r="P14" i="1" s="1"/>
  <c r="S14" i="1" s="1"/>
  <c r="I11" i="13"/>
  <c r="I12" i="13"/>
  <c r="I13" i="13"/>
  <c r="I10" i="13"/>
  <c r="I17" i="13"/>
  <c r="I18" i="13"/>
  <c r="I19" i="13"/>
  <c r="G11" i="13"/>
  <c r="G12" i="13"/>
  <c r="G13" i="13"/>
  <c r="G10" i="13"/>
  <c r="E11" i="13"/>
  <c r="L11" i="13" s="1"/>
  <c r="K11" i="13"/>
  <c r="E12" i="13"/>
  <c r="L12" i="13"/>
  <c r="E13" i="13"/>
  <c r="L13" i="13"/>
  <c r="E10" i="13"/>
  <c r="M10" i="13" s="1"/>
  <c r="L10" i="13"/>
  <c r="F14" i="13"/>
  <c r="H14" i="13"/>
  <c r="D14" i="13"/>
  <c r="AH12" i="14"/>
  <c r="AH17" i="14"/>
  <c r="AH11" i="14"/>
  <c r="AH15" i="14"/>
  <c r="AH14" i="14"/>
  <c r="AH13" i="14"/>
  <c r="AH10" i="14"/>
  <c r="AH9" i="14"/>
  <c r="E34" i="15"/>
  <c r="E13" i="7" s="1"/>
  <c r="N13" i="7" s="1"/>
  <c r="M11" i="13"/>
  <c r="K10" i="13"/>
  <c r="V16" i="14"/>
  <c r="M12" i="13"/>
  <c r="K12" i="13"/>
  <c r="AE16" i="1"/>
  <c r="AH16" i="14"/>
  <c r="F16" i="9"/>
  <c r="E12" i="9"/>
  <c r="N12" i="9"/>
  <c r="E11" i="9"/>
  <c r="N11" i="9" s="1"/>
  <c r="E10" i="9"/>
  <c r="N10" i="9" s="1"/>
  <c r="D47" i="9"/>
  <c r="D46" i="9"/>
  <c r="D38" i="9"/>
  <c r="D37" i="9"/>
  <c r="D36" i="9"/>
  <c r="D35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U68" i="9"/>
  <c r="U69" i="9"/>
  <c r="U70" i="9"/>
  <c r="U71" i="9"/>
  <c r="U72" i="9"/>
  <c r="U73" i="9"/>
  <c r="D26" i="9"/>
  <c r="E21" i="9"/>
  <c r="E20" i="9"/>
  <c r="N17" i="9"/>
  <c r="N13" i="9"/>
  <c r="B12" i="9"/>
  <c r="B11" i="9"/>
  <c r="G10" i="9"/>
  <c r="N9" i="9"/>
  <c r="N8" i="9"/>
  <c r="N7" i="9"/>
  <c r="N6" i="9"/>
  <c r="C2" i="9"/>
  <c r="L2" i="9" s="1"/>
  <c r="D48" i="7"/>
  <c r="D47" i="7"/>
  <c r="D39" i="7"/>
  <c r="D38" i="7"/>
  <c r="D37" i="7"/>
  <c r="D36" i="7"/>
  <c r="D25" i="7"/>
  <c r="E20" i="7"/>
  <c r="N9" i="7"/>
  <c r="N8" i="7"/>
  <c r="N7" i="7"/>
  <c r="N6" i="7"/>
  <c r="F16" i="6"/>
  <c r="C2" i="6"/>
  <c r="L2" i="6" s="1"/>
  <c r="E10" i="6"/>
  <c r="N10" i="6" s="1"/>
  <c r="E21" i="6"/>
  <c r="E12" i="6"/>
  <c r="N12" i="6" s="1"/>
  <c r="E8" i="15"/>
  <c r="F26" i="17" s="1"/>
  <c r="N17" i="17" s="1"/>
  <c r="D47" i="6"/>
  <c r="D46" i="6"/>
  <c r="E27" i="19"/>
  <c r="K18" i="7"/>
  <c r="E27" i="16"/>
  <c r="K21" i="7"/>
  <c r="K33" i="7"/>
  <c r="K30" i="7"/>
  <c r="K29" i="7"/>
  <c r="K32" i="7"/>
  <c r="K19" i="7"/>
  <c r="K37" i="7"/>
  <c r="K38" i="7"/>
  <c r="K40" i="7"/>
  <c r="K35" i="7"/>
  <c r="K31" i="7"/>
  <c r="K41" i="7"/>
  <c r="K34" i="7"/>
  <c r="K27" i="7"/>
  <c r="K42" i="7"/>
  <c r="K36" i="7"/>
  <c r="K25" i="7"/>
  <c r="K20" i="7"/>
  <c r="K24" i="7"/>
  <c r="K39" i="7"/>
  <c r="K26" i="7"/>
  <c r="K23" i="7"/>
  <c r="K28" i="7"/>
  <c r="K22" i="7"/>
  <c r="M41" i="19"/>
  <c r="K27" i="19"/>
  <c r="K35" i="19"/>
  <c r="K26" i="19"/>
  <c r="K18" i="19"/>
  <c r="M38" i="19"/>
  <c r="K34" i="19"/>
  <c r="K20" i="19"/>
  <c r="K28" i="19"/>
  <c r="K36" i="19"/>
  <c r="K19" i="19"/>
  <c r="K37" i="19"/>
  <c r="K21" i="19"/>
  <c r="K29" i="19"/>
  <c r="K22" i="19"/>
  <c r="K30" i="19"/>
  <c r="K38" i="19"/>
  <c r="M39" i="19"/>
  <c r="K23" i="19"/>
  <c r="K31" i="19"/>
  <c r="K41" i="19"/>
  <c r="K39" i="19"/>
  <c r="K24" i="19"/>
  <c r="K32" i="19"/>
  <c r="M40" i="19"/>
  <c r="K25" i="19"/>
  <c r="K33" i="19"/>
  <c r="K40" i="19"/>
  <c r="M50" i="12"/>
  <c r="F15" i="9"/>
  <c r="A251" i="9" s="1"/>
  <c r="F15" i="4"/>
  <c r="F21" i="4" s="1"/>
  <c r="F15" i="5"/>
  <c r="N50" i="12"/>
  <c r="K24" i="16"/>
  <c r="K29" i="16"/>
  <c r="K37" i="16"/>
  <c r="K39" i="16"/>
  <c r="K41" i="16"/>
  <c r="K23" i="16"/>
  <c r="K25" i="16"/>
  <c r="K33" i="16"/>
  <c r="K18" i="16"/>
  <c r="K28" i="16"/>
  <c r="K26" i="16"/>
  <c r="K34" i="16"/>
  <c r="K20" i="16"/>
  <c r="K38" i="16"/>
  <c r="K35" i="16"/>
  <c r="K40" i="16"/>
  <c r="K21" i="16"/>
  <c r="K27" i="16"/>
  <c r="K36" i="16"/>
  <c r="K31" i="16"/>
  <c r="K19" i="16"/>
  <c r="K32" i="16"/>
  <c r="K22" i="16"/>
  <c r="K30" i="16"/>
  <c r="H50" i="12"/>
  <c r="M52" i="12"/>
  <c r="M53" i="12"/>
  <c r="F21" i="9"/>
  <c r="I50" i="12"/>
  <c r="H52" i="12"/>
  <c r="H53" i="12"/>
  <c r="E30" i="5"/>
  <c r="E30" i="4"/>
  <c r="N23" i="4" s="1"/>
  <c r="E30" i="3"/>
  <c r="N18" i="3" s="1"/>
  <c r="E30" i="2"/>
  <c r="N29" i="2" s="1"/>
  <c r="G10" i="6"/>
  <c r="G10" i="5"/>
  <c r="G10" i="4"/>
  <c r="G10" i="3"/>
  <c r="G10" i="2"/>
  <c r="E12" i="5"/>
  <c r="N12" i="5" s="1"/>
  <c r="E11" i="5"/>
  <c r="N11" i="5" s="1"/>
  <c r="E10" i="5"/>
  <c r="N10" i="5" s="1"/>
  <c r="E12" i="4"/>
  <c r="N12" i="4"/>
  <c r="E12" i="3"/>
  <c r="N12" i="3"/>
  <c r="E10" i="4"/>
  <c r="N10" i="4"/>
  <c r="E10" i="3"/>
  <c r="N10" i="3" s="1"/>
  <c r="E25" i="2"/>
  <c r="E34" i="2" s="1"/>
  <c r="E25" i="3"/>
  <c r="E25" i="4" s="1"/>
  <c r="D38" i="6"/>
  <c r="D37" i="6"/>
  <c r="D36" i="6"/>
  <c r="D35" i="6"/>
  <c r="D26" i="6"/>
  <c r="E20" i="6"/>
  <c r="N17" i="6"/>
  <c r="N13" i="6"/>
  <c r="B12" i="6"/>
  <c r="B11" i="6"/>
  <c r="N9" i="6"/>
  <c r="N8" i="6"/>
  <c r="N7" i="6"/>
  <c r="N6" i="6"/>
  <c r="U65" i="5"/>
  <c r="U66" i="5"/>
  <c r="U67" i="5"/>
  <c r="U68" i="5"/>
  <c r="U69" i="5"/>
  <c r="U70" i="5"/>
  <c r="U71" i="5"/>
  <c r="U72" i="5"/>
  <c r="U73" i="5"/>
  <c r="U74" i="5"/>
  <c r="D51" i="5"/>
  <c r="D50" i="5"/>
  <c r="D42" i="5"/>
  <c r="D41" i="5"/>
  <c r="D40" i="5"/>
  <c r="D39" i="5"/>
  <c r="D26" i="5"/>
  <c r="E20" i="5"/>
  <c r="N17" i="5"/>
  <c r="N13" i="5"/>
  <c r="B12" i="5"/>
  <c r="B11" i="5"/>
  <c r="N9" i="5"/>
  <c r="N8" i="5"/>
  <c r="N7" i="5"/>
  <c r="N6" i="5"/>
  <c r="C2" i="5"/>
  <c r="M17" i="5" s="1"/>
  <c r="U17" i="5" s="1"/>
  <c r="U65" i="4"/>
  <c r="U66" i="4"/>
  <c r="U67" i="4"/>
  <c r="U68" i="4"/>
  <c r="U69" i="4"/>
  <c r="U70" i="4"/>
  <c r="U71" i="4"/>
  <c r="U72" i="4"/>
  <c r="U73" i="4"/>
  <c r="U74" i="4"/>
  <c r="D51" i="4"/>
  <c r="D50" i="4"/>
  <c r="D42" i="4"/>
  <c r="D41" i="4"/>
  <c r="D40" i="4"/>
  <c r="D39" i="4"/>
  <c r="D26" i="4"/>
  <c r="E20" i="4"/>
  <c r="N17" i="4"/>
  <c r="N13" i="4"/>
  <c r="B12" i="4"/>
  <c r="B11" i="4"/>
  <c r="N9" i="4"/>
  <c r="N8" i="4"/>
  <c r="N7" i="4"/>
  <c r="N6" i="4"/>
  <c r="C2" i="4"/>
  <c r="M17" i="4" s="1"/>
  <c r="U17" i="4" s="1"/>
  <c r="U65" i="3"/>
  <c r="U66" i="3"/>
  <c r="U67" i="3"/>
  <c r="U68" i="3"/>
  <c r="U69" i="3"/>
  <c r="U70" i="3"/>
  <c r="U71" i="3"/>
  <c r="U72" i="3"/>
  <c r="U73" i="3"/>
  <c r="U74" i="3"/>
  <c r="D51" i="3"/>
  <c r="D50" i="3"/>
  <c r="D42" i="3"/>
  <c r="D41" i="3"/>
  <c r="D40" i="3"/>
  <c r="D39" i="3"/>
  <c r="D26" i="3"/>
  <c r="E20" i="3"/>
  <c r="N17" i="3"/>
  <c r="N13" i="3"/>
  <c r="B12" i="3"/>
  <c r="B11" i="3"/>
  <c r="N9" i="3"/>
  <c r="N8" i="3"/>
  <c r="N7" i="3"/>
  <c r="N6" i="3"/>
  <c r="C2" i="3"/>
  <c r="L2" i="3" s="1"/>
  <c r="E20" i="2"/>
  <c r="D51" i="2"/>
  <c r="D50" i="2"/>
  <c r="C2" i="2"/>
  <c r="M17" i="2" s="1"/>
  <c r="U17" i="2" s="1"/>
  <c r="D48" i="12"/>
  <c r="N47" i="12"/>
  <c r="N32" i="12"/>
  <c r="I46" i="12"/>
  <c r="I31" i="12"/>
  <c r="N46" i="12"/>
  <c r="N31" i="12"/>
  <c r="I30" i="12"/>
  <c r="I29" i="12"/>
  <c r="N30" i="12"/>
  <c r="I45" i="12"/>
  <c r="D47" i="12"/>
  <c r="N45" i="12"/>
  <c r="N29" i="12"/>
  <c r="I44" i="12"/>
  <c r="I43" i="12"/>
  <c r="N44" i="12"/>
  <c r="N43" i="12"/>
  <c r="N27" i="12"/>
  <c r="I42" i="12"/>
  <c r="N42" i="12"/>
  <c r="I41" i="12"/>
  <c r="I25" i="12"/>
  <c r="I40" i="12"/>
  <c r="I24" i="12"/>
  <c r="N22" i="12"/>
  <c r="I37" i="12"/>
  <c r="I32" i="12"/>
  <c r="N41" i="12"/>
  <c r="I34" i="12"/>
  <c r="N33" i="12"/>
  <c r="N40" i="12"/>
  <c r="N25" i="12"/>
  <c r="I39" i="12"/>
  <c r="I22" i="12"/>
  <c r="N39" i="12"/>
  <c r="I38" i="12"/>
  <c r="I20" i="12"/>
  <c r="I19" i="12"/>
  <c r="N34" i="12"/>
  <c r="N24" i="12"/>
  <c r="N38" i="12"/>
  <c r="N37" i="12"/>
  <c r="N20" i="12"/>
  <c r="I36" i="12"/>
  <c r="N36" i="12"/>
  <c r="N19" i="12"/>
  <c r="I35" i="12"/>
  <c r="N35" i="12"/>
  <c r="I33" i="12"/>
  <c r="I47" i="12"/>
  <c r="D20" i="12"/>
  <c r="N28" i="12"/>
  <c r="D29" i="12"/>
  <c r="D22" i="12"/>
  <c r="D32" i="12"/>
  <c r="I28" i="12"/>
  <c r="D31" i="12"/>
  <c r="D28" i="12"/>
  <c r="I27" i="12"/>
  <c r="D33" i="12"/>
  <c r="D35" i="12"/>
  <c r="D40" i="12"/>
  <c r="D41" i="12"/>
  <c r="I26" i="12"/>
  <c r="D34" i="12"/>
  <c r="D42" i="12"/>
  <c r="D27" i="12"/>
  <c r="D37" i="12"/>
  <c r="N26" i="12"/>
  <c r="D39" i="12"/>
  <c r="D45" i="12"/>
  <c r="D30" i="12"/>
  <c r="D44" i="12"/>
  <c r="D19" i="12"/>
  <c r="D43" i="12"/>
  <c r="D24" i="12"/>
  <c r="D38" i="12"/>
  <c r="D46" i="12"/>
  <c r="D36" i="12"/>
  <c r="D25" i="12"/>
  <c r="N48" i="12"/>
  <c r="I48" i="12"/>
  <c r="F15" i="6"/>
  <c r="F17" i="6"/>
  <c r="A252" i="5"/>
  <c r="F21" i="5"/>
  <c r="E12" i="2"/>
  <c r="N12" i="2" s="1"/>
  <c r="E11" i="2"/>
  <c r="N11" i="2"/>
  <c r="E10" i="2"/>
  <c r="N10" i="2" s="1"/>
  <c r="U65" i="2"/>
  <c r="U66" i="2"/>
  <c r="U67" i="2"/>
  <c r="U68" i="2"/>
  <c r="U69" i="2"/>
  <c r="U70" i="2"/>
  <c r="U71" i="2"/>
  <c r="U72" i="2"/>
  <c r="U73" i="2"/>
  <c r="U74" i="2"/>
  <c r="D42" i="2"/>
  <c r="D41" i="2"/>
  <c r="D40" i="2"/>
  <c r="D39" i="2"/>
  <c r="F26" i="2"/>
  <c r="D26" i="2"/>
  <c r="N17" i="2"/>
  <c r="N13" i="2"/>
  <c r="B12" i="2"/>
  <c r="B11" i="2"/>
  <c r="N9" i="2"/>
  <c r="N8" i="2"/>
  <c r="N7" i="2"/>
  <c r="N6" i="2"/>
  <c r="N10" i="1"/>
  <c r="P10" i="1" s="1"/>
  <c r="S10" i="1" s="1"/>
  <c r="B10" i="1"/>
  <c r="B11" i="1" s="1"/>
  <c r="B12" i="1" s="1"/>
  <c r="B13" i="1" s="1"/>
  <c r="B14" i="1" s="1"/>
  <c r="B15" i="1" s="1"/>
  <c r="B16" i="1" s="1"/>
  <c r="B17" i="1" s="1"/>
  <c r="M9" i="1"/>
  <c r="C50" i="12"/>
  <c r="D26" i="12"/>
  <c r="F20" i="6"/>
  <c r="A251" i="6"/>
  <c r="E11" i="3"/>
  <c r="N11" i="3" s="1"/>
  <c r="D50" i="12"/>
  <c r="E11" i="6"/>
  <c r="N11" i="6"/>
  <c r="E11" i="4"/>
  <c r="N11" i="4" s="1"/>
  <c r="N29" i="5"/>
  <c r="M29" i="5" s="1"/>
  <c r="N20" i="4"/>
  <c r="M20" i="4" s="1"/>
  <c r="N26" i="4"/>
  <c r="K26" i="4" s="1"/>
  <c r="N28" i="4"/>
  <c r="N21" i="4"/>
  <c r="K21" i="4" s="1"/>
  <c r="N24" i="4"/>
  <c r="M24" i="4" s="1"/>
  <c r="N26" i="3"/>
  <c r="N21" i="3"/>
  <c r="M21" i="3" s="1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U53" i="6"/>
  <c r="U54" i="6"/>
  <c r="U55" i="6"/>
  <c r="U56" i="6"/>
  <c r="U57" i="6"/>
  <c r="U58" i="6"/>
  <c r="U59" i="6"/>
  <c r="U60" i="6"/>
  <c r="U61" i="6"/>
  <c r="U62" i="6"/>
  <c r="U63" i="6"/>
  <c r="U64" i="6"/>
  <c r="U65" i="6"/>
  <c r="U66" i="6"/>
  <c r="U67" i="6"/>
  <c r="U68" i="6"/>
  <c r="U69" i="6"/>
  <c r="U70" i="6"/>
  <c r="U71" i="6"/>
  <c r="U72" i="6"/>
  <c r="U73" i="6"/>
  <c r="N27" i="5"/>
  <c r="M27" i="5" s="1"/>
  <c r="N26" i="5"/>
  <c r="M26" i="5" s="1"/>
  <c r="N28" i="5"/>
  <c r="K28" i="5" s="1"/>
  <c r="N20" i="5"/>
  <c r="K20" i="5" s="1"/>
  <c r="N19" i="5"/>
  <c r="M19" i="5" s="1"/>
  <c r="N22" i="5"/>
  <c r="M22" i="5" s="1"/>
  <c r="N21" i="5"/>
  <c r="M21" i="5" s="1"/>
  <c r="N24" i="5"/>
  <c r="K24" i="5" s="1"/>
  <c r="N23" i="5"/>
  <c r="M23" i="5" s="1"/>
  <c r="N25" i="5"/>
  <c r="M25" i="5" s="1"/>
  <c r="N18" i="5"/>
  <c r="M18" i="5" s="1"/>
  <c r="M28" i="4"/>
  <c r="K28" i="4"/>
  <c r="M21" i="4"/>
  <c r="K19" i="5"/>
  <c r="M28" i="5"/>
  <c r="M24" i="5"/>
  <c r="K18" i="5"/>
  <c r="K22" i="5"/>
  <c r="K21" i="5"/>
  <c r="N32" i="5"/>
  <c r="N38" i="19"/>
  <c r="N39" i="19"/>
  <c r="N41" i="19"/>
  <c r="N40" i="19"/>
  <c r="C52" i="12"/>
  <c r="C53" i="12"/>
  <c r="F20" i="9" l="1"/>
  <c r="F17" i="9"/>
  <c r="F18" i="9" s="1"/>
  <c r="M13" i="13"/>
  <c r="K13" i="13"/>
  <c r="F27" i="15"/>
  <c r="F30" i="16" s="1"/>
  <c r="M20" i="5"/>
  <c r="F20" i="5"/>
  <c r="N21" i="2"/>
  <c r="K21" i="2" s="1"/>
  <c r="K23" i="5"/>
  <c r="E34" i="3"/>
  <c r="AV11" i="22"/>
  <c r="F28" i="15"/>
  <c r="F31" i="16" s="1"/>
  <c r="N25" i="2"/>
  <c r="K25" i="2" s="1"/>
  <c r="M26" i="4"/>
  <c r="K27" i="5"/>
  <c r="F20" i="4"/>
  <c r="A252" i="4"/>
  <c r="F21" i="6"/>
  <c r="F23" i="6" s="1"/>
  <c r="M23" i="4"/>
  <c r="K23" i="4"/>
  <c r="E24" i="16"/>
  <c r="E33" i="16" s="1"/>
  <c r="E31" i="7"/>
  <c r="K29" i="2"/>
  <c r="M29" i="2"/>
  <c r="E34" i="4"/>
  <c r="E25" i="5"/>
  <c r="K18" i="3"/>
  <c r="M18" i="3"/>
  <c r="N32" i="3"/>
  <c r="M18" i="14"/>
  <c r="N27" i="2"/>
  <c r="K25" i="5"/>
  <c r="K26" i="5"/>
  <c r="K24" i="4"/>
  <c r="K20" i="4"/>
  <c r="K29" i="5"/>
  <c r="N27" i="3"/>
  <c r="N23" i="3"/>
  <c r="N19" i="4"/>
  <c r="F17" i="4"/>
  <c r="AV44" i="22"/>
  <c r="N18" i="14"/>
  <c r="N22" i="2"/>
  <c r="K22" i="2" s="1"/>
  <c r="N20" i="2"/>
  <c r="F18" i="6"/>
  <c r="N25" i="3"/>
  <c r="N24" i="3"/>
  <c r="N25" i="4"/>
  <c r="N18" i="2"/>
  <c r="N22" i="3"/>
  <c r="N20" i="3"/>
  <c r="N22" i="4"/>
  <c r="F17" i="5"/>
  <c r="AV23" i="22"/>
  <c r="F26" i="15"/>
  <c r="F29" i="16" s="1"/>
  <c r="N24" i="2"/>
  <c r="K21" i="3"/>
  <c r="N19" i="3"/>
  <c r="N23" i="2"/>
  <c r="K23" i="2" s="1"/>
  <c r="N26" i="2"/>
  <c r="N29" i="3"/>
  <c r="N18" i="4"/>
  <c r="N29" i="4"/>
  <c r="N28" i="2"/>
  <c r="N19" i="2"/>
  <c r="N28" i="3"/>
  <c r="M25" i="2"/>
  <c r="N27" i="4"/>
  <c r="U11" i="1"/>
  <c r="AE11" i="1"/>
  <c r="W17" i="1"/>
  <c r="Y17" i="1" s="1"/>
  <c r="AA17" i="1" s="1"/>
  <c r="AC17" i="1"/>
  <c r="AE14" i="1"/>
  <c r="U14" i="1"/>
  <c r="Q14" i="1"/>
  <c r="M18" i="1"/>
  <c r="N9" i="1"/>
  <c r="Q11" i="1"/>
  <c r="AE13" i="1"/>
  <c r="Q13" i="1"/>
  <c r="U13" i="1"/>
  <c r="Q16" i="1"/>
  <c r="U16" i="1"/>
  <c r="Q15" i="1"/>
  <c r="U15" i="1"/>
  <c r="AE15" i="1"/>
  <c r="K26" i="3"/>
  <c r="M26" i="3"/>
  <c r="U10" i="1"/>
  <c r="AE10" i="1"/>
  <c r="Q10" i="1"/>
  <c r="F15" i="3"/>
  <c r="U12" i="1"/>
  <c r="Q12" i="1"/>
  <c r="AE12" i="1"/>
  <c r="Q17" i="1"/>
  <c r="AE17" i="1"/>
  <c r="L2" i="2"/>
  <c r="F26" i="18"/>
  <c r="N17" i="18" s="1"/>
  <c r="V17" i="18" s="1"/>
  <c r="F25" i="19"/>
  <c r="N17" i="19" s="1"/>
  <c r="F25" i="7"/>
  <c r="N17" i="7" s="1"/>
  <c r="E13" i="17"/>
  <c r="N13" i="17" s="1"/>
  <c r="E13" i="19"/>
  <c r="N13" i="19" s="1"/>
  <c r="E11" i="18"/>
  <c r="N11" i="18" s="1"/>
  <c r="V11" i="18" s="1"/>
  <c r="E11" i="16"/>
  <c r="N11" i="16" s="1"/>
  <c r="E11" i="19"/>
  <c r="N11" i="19" s="1"/>
  <c r="C28" i="16"/>
  <c r="N11" i="7"/>
  <c r="E13" i="18"/>
  <c r="N13" i="18" s="1"/>
  <c r="V13" i="18" s="1"/>
  <c r="E12" i="17"/>
  <c r="N12" i="17" s="1"/>
  <c r="F25" i="16"/>
  <c r="N17" i="16" s="1"/>
  <c r="E11" i="17"/>
  <c r="N11" i="17" s="1"/>
  <c r="E13" i="16"/>
  <c r="N13" i="16" s="1"/>
  <c r="E12" i="18"/>
  <c r="N12" i="18" s="1"/>
  <c r="V12" i="18" s="1"/>
  <c r="E12" i="19"/>
  <c r="N12" i="19" s="1"/>
  <c r="E12" i="16"/>
  <c r="N12" i="16" s="1"/>
  <c r="L2" i="4"/>
  <c r="C2" i="16"/>
  <c r="M17" i="16" s="1"/>
  <c r="U17" i="16" s="1"/>
  <c r="V17" i="16" s="1"/>
  <c r="Y19" i="16" s="1"/>
  <c r="M42" i="16" s="1"/>
  <c r="M17" i="6"/>
  <c r="U17" i="6" s="1"/>
  <c r="C2" i="17"/>
  <c r="M17" i="17" s="1"/>
  <c r="M18" i="17" s="1"/>
  <c r="C2" i="18"/>
  <c r="M17" i="18" s="1"/>
  <c r="U17" i="18" s="1"/>
  <c r="U18" i="18" s="1"/>
  <c r="U19" i="18" s="1"/>
  <c r="L2" i="5"/>
  <c r="Y20" i="5"/>
  <c r="V17" i="5"/>
  <c r="Y19" i="5" s="1"/>
  <c r="W20" i="5"/>
  <c r="W19" i="5"/>
  <c r="V17" i="2"/>
  <c r="Y19" i="2" s="1"/>
  <c r="W20" i="2"/>
  <c r="W19" i="2"/>
  <c r="Y20" i="2"/>
  <c r="U18" i="2" s="1"/>
  <c r="U19" i="2" s="1"/>
  <c r="U20" i="2" s="1"/>
  <c r="U21" i="2" s="1"/>
  <c r="U22" i="2" s="1"/>
  <c r="U23" i="2" s="1"/>
  <c r="U24" i="2" s="1"/>
  <c r="U25" i="2" s="1"/>
  <c r="U26" i="2" s="1"/>
  <c r="U27" i="2" s="1"/>
  <c r="U28" i="2" s="1"/>
  <c r="U29" i="2" s="1"/>
  <c r="U30" i="2" s="1"/>
  <c r="Y21" i="7"/>
  <c r="V17" i="7"/>
  <c r="Y20" i="7" s="1"/>
  <c r="M43" i="7" s="1"/>
  <c r="W21" i="7"/>
  <c r="W20" i="7"/>
  <c r="V17" i="4"/>
  <c r="W20" i="4"/>
  <c r="Y20" i="4"/>
  <c r="U18" i="4" s="1"/>
  <c r="U19" i="4" s="1"/>
  <c r="U20" i="4" s="1"/>
  <c r="U21" i="4" s="1"/>
  <c r="U22" i="4" s="1"/>
  <c r="U23" i="4" s="1"/>
  <c r="U24" i="4" s="1"/>
  <c r="U25" i="4" s="1"/>
  <c r="U26" i="4" s="1"/>
  <c r="U27" i="4" s="1"/>
  <c r="U28" i="4" s="1"/>
  <c r="U29" i="4" s="1"/>
  <c r="U30" i="4" s="1"/>
  <c r="U33" i="4" s="1"/>
  <c r="U34" i="4" s="1"/>
  <c r="U35" i="4" s="1"/>
  <c r="U36" i="4" s="1"/>
  <c r="U37" i="4" s="1"/>
  <c r="U38" i="4" s="1"/>
  <c r="U39" i="4" s="1"/>
  <c r="U40" i="4" s="1"/>
  <c r="U41" i="4" s="1"/>
  <c r="U52" i="4" s="1"/>
  <c r="U53" i="4" s="1"/>
  <c r="U54" i="4" s="1"/>
  <c r="U55" i="4" s="1"/>
  <c r="U56" i="4" s="1"/>
  <c r="U57" i="4" s="1"/>
  <c r="M17" i="3"/>
  <c r="U17" i="3" s="1"/>
  <c r="C2" i="19"/>
  <c r="M17" i="19" s="1"/>
  <c r="U17" i="19" s="1"/>
  <c r="M17" i="9"/>
  <c r="U17" i="9" s="1"/>
  <c r="Y19" i="4" l="1"/>
  <c r="W19" i="4"/>
  <c r="U19" i="7"/>
  <c r="U20" i="7" s="1"/>
  <c r="U18" i="5"/>
  <c r="U19" i="5" s="1"/>
  <c r="U20" i="5" s="1"/>
  <c r="U21" i="5" s="1"/>
  <c r="U22" i="5" s="1"/>
  <c r="U23" i="5" s="1"/>
  <c r="U24" i="5" s="1"/>
  <c r="U25" i="5" s="1"/>
  <c r="U26" i="5" s="1"/>
  <c r="U27" i="5" s="1"/>
  <c r="U28" i="5" s="1"/>
  <c r="U29" i="5" s="1"/>
  <c r="U30" i="5" s="1"/>
  <c r="U33" i="5" s="1"/>
  <c r="U34" i="5" s="1"/>
  <c r="U35" i="5" s="1"/>
  <c r="U36" i="5" s="1"/>
  <c r="U37" i="5" s="1"/>
  <c r="U38" i="5" s="1"/>
  <c r="U39" i="5" s="1"/>
  <c r="U40" i="5" s="1"/>
  <c r="U41" i="5" s="1"/>
  <c r="U52" i="5" s="1"/>
  <c r="U53" i="5" s="1"/>
  <c r="U54" i="5" s="1"/>
  <c r="U55" i="5" s="1"/>
  <c r="U56" i="5" s="1"/>
  <c r="U57" i="5" s="1"/>
  <c r="F23" i="9"/>
  <c r="M21" i="2"/>
  <c r="M23" i="2"/>
  <c r="AV24" i="22"/>
  <c r="AV22" i="22"/>
  <c r="AV46" i="22" s="1"/>
  <c r="D27" i="15"/>
  <c r="C30" i="16" s="1"/>
  <c r="F29" i="15"/>
  <c r="D28" i="15" s="1"/>
  <c r="C31" i="16" s="1"/>
  <c r="D26" i="15"/>
  <c r="C29" i="16" s="1"/>
  <c r="M22" i="2"/>
  <c r="O18" i="14"/>
  <c r="P18" i="14" s="1"/>
  <c r="R18" i="14" s="1"/>
  <c r="K19" i="3"/>
  <c r="M19" i="3"/>
  <c r="K22" i="3"/>
  <c r="M22" i="3"/>
  <c r="M28" i="2"/>
  <c r="K28" i="2"/>
  <c r="M29" i="4"/>
  <c r="K29" i="4"/>
  <c r="M25" i="4"/>
  <c r="K25" i="4"/>
  <c r="F23" i="4"/>
  <c r="F18" i="4"/>
  <c r="N32" i="4"/>
  <c r="K18" i="4"/>
  <c r="M18" i="4"/>
  <c r="M24" i="3"/>
  <c r="K24" i="3"/>
  <c r="M19" i="4"/>
  <c r="K19" i="4"/>
  <c r="K27" i="2"/>
  <c r="M27" i="2"/>
  <c r="M18" i="2"/>
  <c r="K18" i="2"/>
  <c r="N32" i="2"/>
  <c r="M29" i="3"/>
  <c r="K29" i="3"/>
  <c r="F18" i="5"/>
  <c r="F23" i="5"/>
  <c r="K25" i="3"/>
  <c r="M25" i="3"/>
  <c r="M23" i="3"/>
  <c r="K23" i="3"/>
  <c r="K28" i="3"/>
  <c r="M28" i="3"/>
  <c r="K19" i="2"/>
  <c r="M19" i="2"/>
  <c r="K27" i="4"/>
  <c r="M27" i="4"/>
  <c r="M26" i="2"/>
  <c r="K26" i="2"/>
  <c r="M22" i="4"/>
  <c r="K22" i="4"/>
  <c r="M27" i="3"/>
  <c r="K27" i="3"/>
  <c r="E34" i="5"/>
  <c r="E25" i="9"/>
  <c r="E25" i="6"/>
  <c r="K24" i="2"/>
  <c r="M24" i="2"/>
  <c r="M20" i="3"/>
  <c r="K20" i="3"/>
  <c r="M20" i="2"/>
  <c r="K20" i="2"/>
  <c r="W13" i="1"/>
  <c r="Y13" i="1" s="1"/>
  <c r="AA13" i="1" s="1"/>
  <c r="AC13" i="1"/>
  <c r="AC14" i="1"/>
  <c r="W14" i="1"/>
  <c r="Y14" i="1" s="1"/>
  <c r="AA14" i="1" s="1"/>
  <c r="AQ4" i="22"/>
  <c r="L17" i="14"/>
  <c r="AQ4" i="12"/>
  <c r="AQ51" i="12" s="1"/>
  <c r="AD17" i="1"/>
  <c r="AF17" i="1" s="1"/>
  <c r="AM17" i="1" s="1"/>
  <c r="F15" i="7"/>
  <c r="F21" i="3"/>
  <c r="F20" i="3"/>
  <c r="A252" i="3"/>
  <c r="F17" i="3"/>
  <c r="AC15" i="1"/>
  <c r="W15" i="1"/>
  <c r="Y15" i="1" s="1"/>
  <c r="AA15" i="1" s="1"/>
  <c r="P9" i="1"/>
  <c r="N18" i="1"/>
  <c r="D38" i="1" s="1"/>
  <c r="D39" i="1" s="1"/>
  <c r="AC11" i="1"/>
  <c r="W11" i="1"/>
  <c r="Y11" i="1" s="1"/>
  <c r="AA11" i="1" s="1"/>
  <c r="AC12" i="1"/>
  <c r="W12" i="1"/>
  <c r="Y12" i="1" s="1"/>
  <c r="AA12" i="1" s="1"/>
  <c r="AC10" i="1"/>
  <c r="W10" i="1"/>
  <c r="Y10" i="1" s="1"/>
  <c r="AA10" i="1" s="1"/>
  <c r="AC16" i="1"/>
  <c r="W16" i="1"/>
  <c r="Y16" i="1" s="1"/>
  <c r="AA16" i="1" s="1"/>
  <c r="W19" i="16"/>
  <c r="W20" i="6"/>
  <c r="W20" i="16"/>
  <c r="U17" i="17"/>
  <c r="Y20" i="17" s="1"/>
  <c r="Y20" i="16"/>
  <c r="U18" i="16" s="1"/>
  <c r="M18" i="16" s="1"/>
  <c r="M18" i="18"/>
  <c r="V17" i="6"/>
  <c r="Y20" i="6"/>
  <c r="U18" i="6" s="1"/>
  <c r="U19" i="6" s="1"/>
  <c r="U20" i="6" s="1"/>
  <c r="U21" i="6" s="1"/>
  <c r="U22" i="6" s="1"/>
  <c r="U23" i="6" s="1"/>
  <c r="U24" i="6" s="1"/>
  <c r="U25" i="6" s="1"/>
  <c r="U26" i="6" s="1"/>
  <c r="U27" i="6" s="1"/>
  <c r="U28" i="6" s="1"/>
  <c r="U29" i="6" s="1"/>
  <c r="U33" i="2"/>
  <c r="U34" i="2" s="1"/>
  <c r="U35" i="2" s="1"/>
  <c r="U36" i="2" s="1"/>
  <c r="U37" i="2" s="1"/>
  <c r="U38" i="2" s="1"/>
  <c r="U39" i="2" s="1"/>
  <c r="U40" i="2" s="1"/>
  <c r="U41" i="2" s="1"/>
  <c r="U52" i="2" s="1"/>
  <c r="U53" i="2" s="1"/>
  <c r="U54" i="2" s="1"/>
  <c r="U55" i="2" s="1"/>
  <c r="U56" i="2" s="1"/>
  <c r="U57" i="2" s="1"/>
  <c r="U18" i="7"/>
  <c r="M18" i="7" s="1"/>
  <c r="M19" i="7"/>
  <c r="Y20" i="9"/>
  <c r="V17" i="9"/>
  <c r="W20" i="9"/>
  <c r="Y20" i="19"/>
  <c r="W20" i="19"/>
  <c r="V17" i="19"/>
  <c r="Y20" i="3"/>
  <c r="V17" i="3"/>
  <c r="W20" i="3"/>
  <c r="Y19" i="3" l="1"/>
  <c r="W19" i="3"/>
  <c r="U18" i="3"/>
  <c r="U19" i="3" s="1"/>
  <c r="U20" i="3" s="1"/>
  <c r="U21" i="3" s="1"/>
  <c r="U22" i="3" s="1"/>
  <c r="U23" i="3" s="1"/>
  <c r="U24" i="3" s="1"/>
  <c r="U25" i="3" s="1"/>
  <c r="U26" i="3" s="1"/>
  <c r="U27" i="3" s="1"/>
  <c r="U28" i="3" s="1"/>
  <c r="U29" i="3" s="1"/>
  <c r="U30" i="3" s="1"/>
  <c r="U33" i="3" s="1"/>
  <c r="U34" i="3" s="1"/>
  <c r="U35" i="3" s="1"/>
  <c r="U36" i="3" s="1"/>
  <c r="U37" i="3" s="1"/>
  <c r="U38" i="3" s="1"/>
  <c r="U39" i="3" s="1"/>
  <c r="U40" i="3" s="1"/>
  <c r="U41" i="3" s="1"/>
  <c r="U52" i="3" s="1"/>
  <c r="U53" i="3" s="1"/>
  <c r="U54" i="3" s="1"/>
  <c r="U55" i="3" s="1"/>
  <c r="U56" i="3" s="1"/>
  <c r="U57" i="3" s="1"/>
  <c r="Y19" i="19"/>
  <c r="M42" i="19" s="1"/>
  <c r="W19" i="19"/>
  <c r="U18" i="19"/>
  <c r="U19" i="19" s="1"/>
  <c r="Y19" i="9"/>
  <c r="W19" i="9"/>
  <c r="U18" i="9"/>
  <c r="U19" i="9" s="1"/>
  <c r="U20" i="9" s="1"/>
  <c r="U21" i="9" s="1"/>
  <c r="U22" i="9" s="1"/>
  <c r="U23" i="9" s="1"/>
  <c r="U24" i="9" s="1"/>
  <c r="U25" i="9" s="1"/>
  <c r="U26" i="9" s="1"/>
  <c r="U27" i="9" s="1"/>
  <c r="U28" i="9" s="1"/>
  <c r="U29" i="9" s="1"/>
  <c r="Y19" i="6"/>
  <c r="W19" i="6"/>
  <c r="AV47" i="22"/>
  <c r="AV48" i="22"/>
  <c r="AW46" i="22"/>
  <c r="AA18" i="14"/>
  <c r="AD18" i="14" s="1"/>
  <c r="E30" i="9"/>
  <c r="F30" i="9" s="1"/>
  <c r="F25" i="9"/>
  <c r="F28" i="9" s="1"/>
  <c r="N18" i="9" s="1"/>
  <c r="F25" i="4"/>
  <c r="F28" i="4" s="1"/>
  <c r="F30" i="4" s="1"/>
  <c r="F32" i="4"/>
  <c r="F34" i="4"/>
  <c r="F32" i="5"/>
  <c r="F34" i="5"/>
  <c r="F25" i="5"/>
  <c r="F28" i="5" s="1"/>
  <c r="F30" i="5" s="1"/>
  <c r="E30" i="6"/>
  <c r="F30" i="6" s="1"/>
  <c r="F25" i="6"/>
  <c r="F28" i="6" s="1"/>
  <c r="N18" i="6" s="1"/>
  <c r="Y18" i="14"/>
  <c r="Z18" i="14"/>
  <c r="U18" i="14"/>
  <c r="W18" i="14"/>
  <c r="H4" i="12"/>
  <c r="H51" i="12" s="1"/>
  <c r="AD10" i="1"/>
  <c r="AF10" i="1"/>
  <c r="L10" i="14"/>
  <c r="H4" i="22"/>
  <c r="AD15" i="1"/>
  <c r="AF15" i="1" s="1"/>
  <c r="L15" i="14"/>
  <c r="AG4" i="22"/>
  <c r="AG4" i="12"/>
  <c r="AG51" i="12" s="1"/>
  <c r="N17" i="14"/>
  <c r="M17" i="14"/>
  <c r="O17" i="14" s="1"/>
  <c r="AG17" i="1"/>
  <c r="AI17" i="1" s="1"/>
  <c r="AD12" i="1"/>
  <c r="AF12" i="1" s="1"/>
  <c r="R4" i="22"/>
  <c r="R4" i="12"/>
  <c r="R51" i="12" s="1"/>
  <c r="L12" i="14"/>
  <c r="F18" i="3"/>
  <c r="F23" i="3"/>
  <c r="AQ11" i="22"/>
  <c r="AQ12" i="22"/>
  <c r="AJ17" i="1"/>
  <c r="AL17" i="1" s="1"/>
  <c r="AD14" i="1"/>
  <c r="AF14" i="1" s="1"/>
  <c r="AB4" i="12"/>
  <c r="AB51" i="12" s="1"/>
  <c r="AB4" i="22"/>
  <c r="L14" i="14"/>
  <c r="AL4" i="12"/>
  <c r="AL51" i="12" s="1"/>
  <c r="AD16" i="1"/>
  <c r="AF16" i="1" s="1"/>
  <c r="AL4" i="22"/>
  <c r="L16" i="14"/>
  <c r="S9" i="1"/>
  <c r="P18" i="1"/>
  <c r="AD11" i="1"/>
  <c r="AF11" i="1" s="1"/>
  <c r="M4" i="12"/>
  <c r="M51" i="12" s="1"/>
  <c r="L11" i="14"/>
  <c r="M4" i="22"/>
  <c r="W4" i="12"/>
  <c r="W51" i="12" s="1"/>
  <c r="AD13" i="1"/>
  <c r="AF13" i="1" s="1"/>
  <c r="W4" i="22"/>
  <c r="L13" i="14"/>
  <c r="F15" i="19"/>
  <c r="F15" i="17"/>
  <c r="F15" i="16"/>
  <c r="F17" i="7"/>
  <c r="A253" i="7"/>
  <c r="F20" i="7"/>
  <c r="F15" i="18"/>
  <c r="AO17" i="1"/>
  <c r="AP17" i="1"/>
  <c r="AN17" i="1"/>
  <c r="AV17" i="1"/>
  <c r="AQ17" i="1"/>
  <c r="AU17" i="1"/>
  <c r="W20" i="17"/>
  <c r="U18" i="17" s="1"/>
  <c r="U19" i="17" s="1"/>
  <c r="U20" i="17" s="1"/>
  <c r="U21" i="17" s="1"/>
  <c r="U22" i="17" s="1"/>
  <c r="U23" i="17" s="1"/>
  <c r="U24" i="17" s="1"/>
  <c r="U25" i="17" s="1"/>
  <c r="U26" i="17" s="1"/>
  <c r="U27" i="17" s="1"/>
  <c r="U28" i="17" s="1"/>
  <c r="U29" i="17" s="1"/>
  <c r="U30" i="17" s="1"/>
  <c r="U31" i="17" s="1"/>
  <c r="U32" i="17" s="1"/>
  <c r="U33" i="17" s="1"/>
  <c r="U34" i="17" s="1"/>
  <c r="U35" i="17" s="1"/>
  <c r="U36" i="17" s="1"/>
  <c r="U37" i="17" s="1"/>
  <c r="U38" i="17" s="1"/>
  <c r="U39" i="17" s="1"/>
  <c r="U40" i="17" s="1"/>
  <c r="U41" i="17" s="1"/>
  <c r="U19" i="16"/>
  <c r="M19" i="16" s="1"/>
  <c r="V17" i="17"/>
  <c r="M18" i="19"/>
  <c r="M20" i="7"/>
  <c r="U21" i="7"/>
  <c r="Y19" i="17" l="1"/>
  <c r="W19" i="17"/>
  <c r="AC18" i="14"/>
  <c r="AE18" i="14"/>
  <c r="AB18" i="14"/>
  <c r="AG18" i="14"/>
  <c r="M18" i="6"/>
  <c r="M28" i="6" s="1"/>
  <c r="N29" i="6"/>
  <c r="N30" i="5"/>
  <c r="M30" i="5" s="1"/>
  <c r="E50" i="5"/>
  <c r="F50" i="5" s="1"/>
  <c r="E40" i="5"/>
  <c r="F40" i="5" s="1"/>
  <c r="E42" i="5"/>
  <c r="F42" i="5" s="1"/>
  <c r="E41" i="5"/>
  <c r="F41" i="5" s="1"/>
  <c r="E51" i="5"/>
  <c r="F51" i="5" s="1"/>
  <c r="E39" i="5"/>
  <c r="F39" i="5" s="1"/>
  <c r="E37" i="6"/>
  <c r="F37" i="6" s="1"/>
  <c r="N28" i="6"/>
  <c r="E46" i="6"/>
  <c r="F46" i="6" s="1"/>
  <c r="E47" i="6"/>
  <c r="F47" i="6" s="1"/>
  <c r="E35" i="6"/>
  <c r="F35" i="6" s="1"/>
  <c r="E38" i="6"/>
  <c r="F38" i="6" s="1"/>
  <c r="E36" i="6"/>
  <c r="F36" i="6" s="1"/>
  <c r="E50" i="4"/>
  <c r="F50" i="4" s="1"/>
  <c r="E40" i="4"/>
  <c r="F40" i="4" s="1"/>
  <c r="E51" i="4"/>
  <c r="F51" i="4" s="1"/>
  <c r="N30" i="4"/>
  <c r="M30" i="4" s="1"/>
  <c r="E39" i="4"/>
  <c r="F39" i="4" s="1"/>
  <c r="E42" i="4"/>
  <c r="F42" i="4" s="1"/>
  <c r="E41" i="4"/>
  <c r="F41" i="4" s="1"/>
  <c r="N29" i="9"/>
  <c r="M18" i="9"/>
  <c r="M28" i="9" s="1"/>
  <c r="E37" i="9"/>
  <c r="F37" i="9" s="1"/>
  <c r="E46" i="9"/>
  <c r="F46" i="9" s="1"/>
  <c r="E35" i="9"/>
  <c r="F35" i="9" s="1"/>
  <c r="E36" i="9"/>
  <c r="F36" i="9" s="1"/>
  <c r="E47" i="9"/>
  <c r="F47" i="9" s="1"/>
  <c r="E38" i="9"/>
  <c r="F38" i="9" s="1"/>
  <c r="N28" i="9"/>
  <c r="AM13" i="1"/>
  <c r="AG13" i="1"/>
  <c r="AI13" i="1" s="1"/>
  <c r="AJ13" i="1"/>
  <c r="AL13" i="1" s="1"/>
  <c r="AJ14" i="1"/>
  <c r="AL14" i="1" s="1"/>
  <c r="AM14" i="1"/>
  <c r="AG14" i="1"/>
  <c r="AI14" i="1" s="1"/>
  <c r="AM15" i="1"/>
  <c r="AJ15" i="1"/>
  <c r="AL15" i="1" s="1"/>
  <c r="AG15" i="1"/>
  <c r="AI15" i="1" s="1"/>
  <c r="M16" i="14"/>
  <c r="N16" i="14"/>
  <c r="AG12" i="22"/>
  <c r="AG11" i="22"/>
  <c r="AG16" i="1"/>
  <c r="AI16" i="1" s="1"/>
  <c r="AM16" i="1"/>
  <c r="AJ16" i="1"/>
  <c r="AL16" i="1" s="1"/>
  <c r="N15" i="14"/>
  <c r="M15" i="14"/>
  <c r="F17" i="16"/>
  <c r="F18" i="16" s="1"/>
  <c r="A251" i="16"/>
  <c r="F20" i="16"/>
  <c r="M11" i="22"/>
  <c r="M12" i="22"/>
  <c r="AL12" i="22"/>
  <c r="AL11" i="22"/>
  <c r="AM12" i="1"/>
  <c r="AJ12" i="1"/>
  <c r="AL12" i="1" s="1"/>
  <c r="AG12" i="1"/>
  <c r="AI12" i="1" s="1"/>
  <c r="F18" i="7"/>
  <c r="F22" i="7"/>
  <c r="F16" i="17"/>
  <c r="F18" i="17" s="1"/>
  <c r="F21" i="17"/>
  <c r="A251" i="17"/>
  <c r="H11" i="22"/>
  <c r="H12" i="22"/>
  <c r="A251" i="19"/>
  <c r="F20" i="19"/>
  <c r="F17" i="19"/>
  <c r="AQ44" i="22"/>
  <c r="AQ24" i="22"/>
  <c r="AQ22" i="22"/>
  <c r="AQ23" i="22"/>
  <c r="P17" i="14"/>
  <c r="R17" i="14" s="1"/>
  <c r="AA17" i="14"/>
  <c r="M10" i="14"/>
  <c r="N10" i="14"/>
  <c r="N11" i="14"/>
  <c r="M11" i="14"/>
  <c r="N13" i="14"/>
  <c r="M13" i="14"/>
  <c r="O13" i="14" s="1"/>
  <c r="AJ11" i="1"/>
  <c r="AL11" i="1" s="1"/>
  <c r="AG11" i="1"/>
  <c r="AI11" i="1" s="1"/>
  <c r="AM11" i="1"/>
  <c r="F32" i="3"/>
  <c r="F34" i="3"/>
  <c r="F25" i="3"/>
  <c r="F28" i="3" s="1"/>
  <c r="F30" i="3" s="1"/>
  <c r="AG10" i="1"/>
  <c r="AI10" i="1" s="1"/>
  <c r="AM10" i="1"/>
  <c r="AJ10" i="1"/>
  <c r="AL10" i="1" s="1"/>
  <c r="R12" i="22"/>
  <c r="R11" i="22"/>
  <c r="F16" i="18"/>
  <c r="F18" i="18" s="1"/>
  <c r="F21" i="18"/>
  <c r="A251" i="18"/>
  <c r="W12" i="22"/>
  <c r="W11" i="22"/>
  <c r="M14" i="14"/>
  <c r="N14" i="14"/>
  <c r="F15" i="2"/>
  <c r="AE9" i="1"/>
  <c r="U9" i="1"/>
  <c r="Q9" i="1"/>
  <c r="AB12" i="22"/>
  <c r="AB11" i="22"/>
  <c r="N12" i="14"/>
  <c r="M12" i="14"/>
  <c r="O12" i="14" s="1"/>
  <c r="U20" i="16"/>
  <c r="U21" i="16" s="1"/>
  <c r="U22" i="7"/>
  <c r="M21" i="7"/>
  <c r="U20" i="19"/>
  <c r="M19" i="19"/>
  <c r="O16" i="14" l="1"/>
  <c r="O14" i="14"/>
  <c r="O10" i="14"/>
  <c r="P10" i="14" s="1"/>
  <c r="R10" i="14" s="1"/>
  <c r="F22" i="16"/>
  <c r="F19" i="17"/>
  <c r="F23" i="17"/>
  <c r="F25" i="17" s="1"/>
  <c r="F27" i="17" s="1"/>
  <c r="N18" i="17" s="1"/>
  <c r="P12" i="14"/>
  <c r="R12" i="14" s="1"/>
  <c r="AA12" i="14"/>
  <c r="P14" i="14"/>
  <c r="R14" i="14" s="1"/>
  <c r="AA14" i="14"/>
  <c r="R24" i="22"/>
  <c r="R22" i="22"/>
  <c r="R23" i="22"/>
  <c r="R44" i="22"/>
  <c r="F22" i="19"/>
  <c r="F18" i="19"/>
  <c r="AO16" i="1"/>
  <c r="AP16" i="1"/>
  <c r="AN16" i="1"/>
  <c r="AV16" i="1"/>
  <c r="F24" i="7"/>
  <c r="F26" i="7" s="1"/>
  <c r="N18" i="7" s="1"/>
  <c r="F28" i="7"/>
  <c r="F29" i="7" s="1"/>
  <c r="F31" i="7"/>
  <c r="M24" i="22"/>
  <c r="M23" i="22"/>
  <c r="M44" i="22"/>
  <c r="M22" i="22"/>
  <c r="AN15" i="1"/>
  <c r="AO15" i="1"/>
  <c r="AV15" i="1"/>
  <c r="AP15" i="1"/>
  <c r="AB24" i="22"/>
  <c r="AB44" i="22"/>
  <c r="AB22" i="22"/>
  <c r="AB23" i="22"/>
  <c r="AD17" i="14"/>
  <c r="AB17" i="14"/>
  <c r="AE17" i="14"/>
  <c r="AC17" i="14"/>
  <c r="F24" i="16"/>
  <c r="F26" i="16" s="1"/>
  <c r="F33" i="16"/>
  <c r="AG23" i="22"/>
  <c r="AG22" i="22"/>
  <c r="AG24" i="22"/>
  <c r="AG44" i="22"/>
  <c r="AV10" i="1"/>
  <c r="AN10" i="1"/>
  <c r="AP10" i="1"/>
  <c r="AO10" i="1"/>
  <c r="AU10" i="1"/>
  <c r="AQ10" i="1"/>
  <c r="AV14" i="1"/>
  <c r="AO14" i="1"/>
  <c r="AP14" i="1"/>
  <c r="AN14" i="1"/>
  <c r="H22" i="22"/>
  <c r="H23" i="22"/>
  <c r="H44" i="22"/>
  <c r="H24" i="22"/>
  <c r="AC9" i="1"/>
  <c r="W9" i="1"/>
  <c r="Y9" i="1" s="1"/>
  <c r="AA9" i="1" s="1"/>
  <c r="O11" i="14"/>
  <c r="AQ46" i="22"/>
  <c r="AV12" i="1"/>
  <c r="AO12" i="1"/>
  <c r="AP12" i="1"/>
  <c r="AN12" i="1"/>
  <c r="O15" i="14"/>
  <c r="AP11" i="1"/>
  <c r="AO11" i="1"/>
  <c r="AN11" i="1"/>
  <c r="AV11" i="1"/>
  <c r="W23" i="22"/>
  <c r="W24" i="22"/>
  <c r="W22" i="22"/>
  <c r="W44" i="22"/>
  <c r="P13" i="14"/>
  <c r="R13" i="14" s="1"/>
  <c r="AA13" i="14"/>
  <c r="E41" i="3"/>
  <c r="F41" i="3" s="1"/>
  <c r="E40" i="3"/>
  <c r="F40" i="3" s="1"/>
  <c r="E42" i="3"/>
  <c r="F42" i="3" s="1"/>
  <c r="E51" i="3"/>
  <c r="F51" i="3" s="1"/>
  <c r="N30" i="3"/>
  <c r="M30" i="3" s="1"/>
  <c r="E50" i="3"/>
  <c r="F50" i="3" s="1"/>
  <c r="E39" i="3"/>
  <c r="F39" i="3" s="1"/>
  <c r="AL23" i="22"/>
  <c r="AL24" i="22"/>
  <c r="AL22" i="22"/>
  <c r="AL44" i="22"/>
  <c r="AA16" i="14"/>
  <c r="P16" i="14"/>
  <c r="R16" i="14" s="1"/>
  <c r="Y17" i="14"/>
  <c r="Z17" i="14"/>
  <c r="W17" i="14"/>
  <c r="U17" i="14"/>
  <c r="F20" i="2"/>
  <c r="F21" i="2"/>
  <c r="A252" i="2"/>
  <c r="F17" i="2"/>
  <c r="F23" i="18"/>
  <c r="F25" i="18" s="1"/>
  <c r="F27" i="18" s="1"/>
  <c r="F19" i="18"/>
  <c r="AO13" i="1"/>
  <c r="AN13" i="1"/>
  <c r="AV13" i="1"/>
  <c r="AP13" i="1"/>
  <c r="M20" i="16"/>
  <c r="U23" i="7"/>
  <c r="M22" i="7"/>
  <c r="M20" i="19"/>
  <c r="U21" i="19"/>
  <c r="M21" i="16"/>
  <c r="U22" i="16"/>
  <c r="AA10" i="14" l="1"/>
  <c r="AE10" i="14" s="1"/>
  <c r="Y16" i="14"/>
  <c r="U16" i="14"/>
  <c r="Z16" i="14"/>
  <c r="W16" i="14"/>
  <c r="E39" i="16"/>
  <c r="F39" i="16" s="1"/>
  <c r="E50" i="16"/>
  <c r="F50" i="16" s="1"/>
  <c r="E40" i="16"/>
  <c r="F40" i="16" s="1"/>
  <c r="N42" i="16"/>
  <c r="E41" i="16"/>
  <c r="F41" i="16" s="1"/>
  <c r="E49" i="16"/>
  <c r="F49" i="16" s="1"/>
  <c r="E38" i="16"/>
  <c r="F38" i="16" s="1"/>
  <c r="G31" i="16"/>
  <c r="G30" i="16"/>
  <c r="G29" i="16"/>
  <c r="W14" i="14"/>
  <c r="U14" i="14"/>
  <c r="Z14" i="14"/>
  <c r="Y14" i="14"/>
  <c r="W46" i="22"/>
  <c r="L9" i="14"/>
  <c r="AD9" i="1"/>
  <c r="AF9" i="1" s="1"/>
  <c r="C4" i="12"/>
  <c r="C51" i="12" s="1"/>
  <c r="C4" i="22"/>
  <c r="AC18" i="1"/>
  <c r="N43" i="7"/>
  <c r="E47" i="7"/>
  <c r="F47" i="7" s="1"/>
  <c r="E36" i="7"/>
  <c r="F36" i="7" s="1"/>
  <c r="E39" i="7"/>
  <c r="F39" i="7" s="1"/>
  <c r="E48" i="7"/>
  <c r="F48" i="7" s="1"/>
  <c r="E38" i="7"/>
  <c r="F38" i="7" s="1"/>
  <c r="E37" i="7"/>
  <c r="F37" i="7" s="1"/>
  <c r="AB12" i="14"/>
  <c r="AC12" i="14"/>
  <c r="AE12" i="14"/>
  <c r="AD12" i="14"/>
  <c r="Z13" i="14"/>
  <c r="Y13" i="14"/>
  <c r="W13" i="14"/>
  <c r="U13" i="14"/>
  <c r="AD16" i="14"/>
  <c r="AB16" i="14"/>
  <c r="AC16" i="14"/>
  <c r="AE16" i="14"/>
  <c r="AA15" i="14"/>
  <c r="P15" i="14"/>
  <c r="R15" i="14" s="1"/>
  <c r="Y12" i="14"/>
  <c r="U12" i="14"/>
  <c r="W12" i="14"/>
  <c r="Z12" i="14"/>
  <c r="AC10" i="14"/>
  <c r="AD10" i="14"/>
  <c r="AB10" i="14"/>
  <c r="W10" i="14"/>
  <c r="Z10" i="14"/>
  <c r="U10" i="14"/>
  <c r="Y10" i="14"/>
  <c r="P11" i="14"/>
  <c r="R11" i="14" s="1"/>
  <c r="AA11" i="14"/>
  <c r="AE14" i="14"/>
  <c r="AD14" i="14"/>
  <c r="AC14" i="14"/>
  <c r="AB14" i="14"/>
  <c r="N40" i="7"/>
  <c r="N19" i="7"/>
  <c r="N42" i="7"/>
  <c r="N26" i="7"/>
  <c r="N25" i="7"/>
  <c r="N33" i="7"/>
  <c r="N34" i="7"/>
  <c r="N27" i="7"/>
  <c r="N28" i="7"/>
  <c r="N22" i="7"/>
  <c r="N29" i="7"/>
  <c r="N37" i="7"/>
  <c r="N36" i="7"/>
  <c r="N24" i="7"/>
  <c r="N39" i="7"/>
  <c r="N20" i="7"/>
  <c r="N38" i="7"/>
  <c r="N30" i="7"/>
  <c r="N41" i="7"/>
  <c r="N35" i="7"/>
  <c r="N32" i="7"/>
  <c r="N21" i="7"/>
  <c r="N31" i="7"/>
  <c r="N23" i="7"/>
  <c r="AG46" i="22"/>
  <c r="M46" i="22"/>
  <c r="R46" i="22"/>
  <c r="F18" i="2"/>
  <c r="F23" i="2"/>
  <c r="AL46" i="22"/>
  <c r="F29" i="19"/>
  <c r="F24" i="19"/>
  <c r="F26" i="19" s="1"/>
  <c r="F27" i="19" s="1"/>
  <c r="N18" i="18"/>
  <c r="V18" i="18"/>
  <c r="V19" i="18" s="1"/>
  <c r="AG17" i="14"/>
  <c r="AC13" i="14"/>
  <c r="AE13" i="14"/>
  <c r="AD13" i="14"/>
  <c r="AB13" i="14"/>
  <c r="AQ48" i="22"/>
  <c r="AR46" i="22"/>
  <c r="AQ47" i="22"/>
  <c r="H46" i="22"/>
  <c r="AB46" i="22"/>
  <c r="U23" i="16"/>
  <c r="M22" i="16"/>
  <c r="U22" i="19"/>
  <c r="M21" i="19"/>
  <c r="M23" i="7"/>
  <c r="U24" i="7"/>
  <c r="AG10" i="14" l="1"/>
  <c r="AG14" i="14"/>
  <c r="X46" i="22"/>
  <c r="W47" i="22"/>
  <c r="W48" i="22"/>
  <c r="N28" i="19"/>
  <c r="N22" i="19"/>
  <c r="N27" i="19"/>
  <c r="N29" i="19"/>
  <c r="N35" i="19"/>
  <c r="N31" i="19"/>
  <c r="N30" i="19"/>
  <c r="N18" i="19"/>
  <c r="N26" i="19"/>
  <c r="N37" i="19"/>
  <c r="N33" i="19"/>
  <c r="N24" i="19"/>
  <c r="N21" i="19"/>
  <c r="N19" i="19"/>
  <c r="N25" i="19"/>
  <c r="N23" i="19"/>
  <c r="N32" i="19"/>
  <c r="N36" i="19"/>
  <c r="N34" i="19"/>
  <c r="N20" i="19"/>
  <c r="AH46" i="22"/>
  <c r="AG47" i="22"/>
  <c r="AG48" i="22"/>
  <c r="Z15" i="14"/>
  <c r="U15" i="14"/>
  <c r="Y15" i="14"/>
  <c r="W15" i="14"/>
  <c r="AG13" i="14"/>
  <c r="AG9" i="1"/>
  <c r="AI9" i="1" s="1"/>
  <c r="AM9" i="1"/>
  <c r="AJ9" i="1"/>
  <c r="AL9" i="1" s="1"/>
  <c r="W11" i="14"/>
  <c r="U11" i="14"/>
  <c r="Y11" i="14"/>
  <c r="AG11" i="14" s="1"/>
  <c r="Z11" i="14"/>
  <c r="E34" i="19"/>
  <c r="F34" i="19" s="1"/>
  <c r="E36" i="19"/>
  <c r="F36" i="19" s="1"/>
  <c r="E45" i="19"/>
  <c r="F45" i="19" s="1"/>
  <c r="E35" i="19"/>
  <c r="F35" i="19" s="1"/>
  <c r="E37" i="19"/>
  <c r="F37" i="19" s="1"/>
  <c r="N42" i="19"/>
  <c r="E46" i="19"/>
  <c r="F46" i="19" s="1"/>
  <c r="AL47" i="22"/>
  <c r="AM46" i="22"/>
  <c r="AL48" i="22"/>
  <c r="AG12" i="14"/>
  <c r="H47" i="22"/>
  <c r="I46" i="22"/>
  <c r="H48" i="22"/>
  <c r="F34" i="2"/>
  <c r="F32" i="2"/>
  <c r="F25" i="2"/>
  <c r="F28" i="2" s="1"/>
  <c r="F30" i="2" s="1"/>
  <c r="AD15" i="14"/>
  <c r="AC15" i="14"/>
  <c r="AB15" i="14"/>
  <c r="AE15" i="14"/>
  <c r="N21" i="16"/>
  <c r="N24" i="16"/>
  <c r="N25" i="16"/>
  <c r="N20" i="16"/>
  <c r="N23" i="16"/>
  <c r="N18" i="16"/>
  <c r="N19" i="16"/>
  <c r="N22" i="16"/>
  <c r="M47" i="22"/>
  <c r="N46" i="22"/>
  <c r="M48" i="22"/>
  <c r="N38" i="16"/>
  <c r="N40" i="16"/>
  <c r="N34" i="16"/>
  <c r="N39" i="16"/>
  <c r="N35" i="16"/>
  <c r="N41" i="16"/>
  <c r="N36" i="16"/>
  <c r="N37" i="16"/>
  <c r="M9" i="14"/>
  <c r="N9" i="14"/>
  <c r="N30" i="16"/>
  <c r="N29" i="16"/>
  <c r="N28" i="16"/>
  <c r="N26" i="16"/>
  <c r="N31" i="16"/>
  <c r="N33" i="16"/>
  <c r="N32" i="16"/>
  <c r="N27" i="16"/>
  <c r="C11" i="22"/>
  <c r="C12" i="22"/>
  <c r="AC46" i="22"/>
  <c r="AB47" i="22"/>
  <c r="AB48" i="22"/>
  <c r="R47" i="22"/>
  <c r="S46" i="22"/>
  <c r="R48" i="22"/>
  <c r="T49" i="7"/>
  <c r="T50" i="7" s="1"/>
  <c r="AE11" i="14"/>
  <c r="AB11" i="14"/>
  <c r="AC11" i="14"/>
  <c r="AD11" i="14"/>
  <c r="AG16" i="14"/>
  <c r="U25" i="7"/>
  <c r="M24" i="7"/>
  <c r="M22" i="19"/>
  <c r="U23" i="19"/>
  <c r="U24" i="16"/>
  <c r="M23" i="16"/>
  <c r="O9" i="14" l="1"/>
  <c r="P9" i="14" s="1"/>
  <c r="R9" i="14" s="1"/>
  <c r="E41" i="2"/>
  <c r="F41" i="2" s="1"/>
  <c r="E39" i="2"/>
  <c r="F39" i="2" s="1"/>
  <c r="E50" i="2"/>
  <c r="F50" i="2" s="1"/>
  <c r="E42" i="2"/>
  <c r="F42" i="2" s="1"/>
  <c r="E40" i="2"/>
  <c r="F40" i="2" s="1"/>
  <c r="E51" i="2"/>
  <c r="F51" i="2" s="1"/>
  <c r="N30" i="2"/>
  <c r="M30" i="2" s="1"/>
  <c r="AG15" i="14"/>
  <c r="I21" i="22"/>
  <c r="AR26" i="22"/>
  <c r="S43" i="22"/>
  <c r="AM18" i="22"/>
  <c r="AH28" i="22"/>
  <c r="S26" i="22"/>
  <c r="AM28" i="22"/>
  <c r="AW27" i="22"/>
  <c r="S30" i="22"/>
  <c r="AH32" i="22"/>
  <c r="X33" i="22"/>
  <c r="X29" i="22"/>
  <c r="D35" i="22"/>
  <c r="D16" i="22"/>
  <c r="AM39" i="22"/>
  <c r="AR33" i="22"/>
  <c r="AR42" i="22"/>
  <c r="AW18" i="22"/>
  <c r="N35" i="22"/>
  <c r="D20" i="22"/>
  <c r="D37" i="22"/>
  <c r="AM42" i="22"/>
  <c r="S40" i="22"/>
  <c r="S20" i="22"/>
  <c r="AW23" i="22"/>
  <c r="AR27" i="22"/>
  <c r="AC25" i="22"/>
  <c r="D33" i="22"/>
  <c r="X27" i="22"/>
  <c r="S27" i="22"/>
  <c r="C44" i="22"/>
  <c r="D44" i="22" s="1"/>
  <c r="AC39" i="22"/>
  <c r="D39" i="22"/>
  <c r="S42" i="22"/>
  <c r="S25" i="22"/>
  <c r="AC32" i="22"/>
  <c r="AM26" i="22"/>
  <c r="I27" i="22"/>
  <c r="N39" i="22"/>
  <c r="AH25" i="22"/>
  <c r="X42" i="22"/>
  <c r="N27" i="22"/>
  <c r="AC29" i="22"/>
  <c r="AW31" i="22"/>
  <c r="I31" i="22"/>
  <c r="AC33" i="22"/>
  <c r="AR35" i="22"/>
  <c r="AH36" i="22"/>
  <c r="S29" i="22"/>
  <c r="S41" i="22"/>
  <c r="X16" i="22"/>
  <c r="AM33" i="22"/>
  <c r="I41" i="22"/>
  <c r="AM38" i="22"/>
  <c r="AM16" i="22"/>
  <c r="X40" i="22"/>
  <c r="X20" i="22"/>
  <c r="AW22" i="22"/>
  <c r="AW21" i="22"/>
  <c r="C23" i="22"/>
  <c r="D23" i="22" s="1"/>
  <c r="AH34" i="22"/>
  <c r="X21" i="22"/>
  <c r="S34" i="22"/>
  <c r="I37" i="22"/>
  <c r="I26" i="22"/>
  <c r="D43" i="22"/>
  <c r="AW44" i="22"/>
  <c r="N25" i="22"/>
  <c r="AM41" i="22"/>
  <c r="AM35" i="22"/>
  <c r="D27" i="22"/>
  <c r="I18" i="22"/>
  <c r="S39" i="22"/>
  <c r="AM20" i="22"/>
  <c r="AW40" i="22"/>
  <c r="AM25" i="22"/>
  <c r="X26" i="22"/>
  <c r="AR28" i="22"/>
  <c r="AR32" i="22"/>
  <c r="X30" i="22"/>
  <c r="AM32" i="22"/>
  <c r="I35" i="22"/>
  <c r="S37" i="22"/>
  <c r="N38" i="22"/>
  <c r="AH42" i="22"/>
  <c r="X35" i="22"/>
  <c r="I15" i="22"/>
  <c r="AR38" i="22"/>
  <c r="AR16" i="22"/>
  <c r="C24" i="22"/>
  <c r="D24" i="22" s="1"/>
  <c r="I43" i="22"/>
  <c r="AW24" i="22"/>
  <c r="N28" i="22"/>
  <c r="AR25" i="22"/>
  <c r="AC42" i="22"/>
  <c r="AW28" i="22"/>
  <c r="D32" i="22"/>
  <c r="AM36" i="22"/>
  <c r="N15" i="22"/>
  <c r="D40" i="22"/>
  <c r="AH41" i="22"/>
  <c r="I42" i="22"/>
  <c r="AC28" i="22"/>
  <c r="D21" i="22"/>
  <c r="AW25" i="22"/>
  <c r="AW29" i="22"/>
  <c r="AC27" i="22"/>
  <c r="AC31" i="22"/>
  <c r="I29" i="22"/>
  <c r="N36" i="22"/>
  <c r="D29" i="22"/>
  <c r="AR37" i="22"/>
  <c r="AH30" i="22"/>
  <c r="X34" i="22"/>
  <c r="AC30" i="22"/>
  <c r="S16" i="22"/>
  <c r="AC35" i="22"/>
  <c r="D15" i="22"/>
  <c r="N37" i="22"/>
  <c r="X41" i="22"/>
  <c r="X37" i="22"/>
  <c r="AC41" i="22"/>
  <c r="AM40" i="22"/>
  <c r="AC38" i="22"/>
  <c r="X25" i="22"/>
  <c r="I34" i="22"/>
  <c r="AW34" i="22"/>
  <c r="AM30" i="22"/>
  <c r="I32" i="22"/>
  <c r="D41" i="22"/>
  <c r="N26" i="22"/>
  <c r="AH21" i="22"/>
  <c r="AW41" i="22"/>
  <c r="S18" i="22"/>
  <c r="AR34" i="22"/>
  <c r="AR30" i="22"/>
  <c r="X39" i="22"/>
  <c r="AW37" i="22"/>
  <c r="AC37" i="22"/>
  <c r="D42" i="22"/>
  <c r="AW36" i="22"/>
  <c r="AC40" i="22"/>
  <c r="AH37" i="22"/>
  <c r="AH39" i="22"/>
  <c r="AW35" i="22"/>
  <c r="AW26" i="22"/>
  <c r="S38" i="22"/>
  <c r="AR31" i="22"/>
  <c r="X38" i="22"/>
  <c r="AC21" i="22"/>
  <c r="AC43" i="22"/>
  <c r="AH43" i="22"/>
  <c r="S33" i="22"/>
  <c r="N29" i="22"/>
  <c r="AH33" i="22"/>
  <c r="S36" i="22"/>
  <c r="AW15" i="22"/>
  <c r="S21" i="22"/>
  <c r="N30" i="22"/>
  <c r="AH35" i="22"/>
  <c r="AM34" i="22"/>
  <c r="N41" i="22"/>
  <c r="AW38" i="22"/>
  <c r="AW39" i="22"/>
  <c r="AH38" i="22"/>
  <c r="S31" i="22"/>
  <c r="AH27" i="22"/>
  <c r="AC18" i="22"/>
  <c r="N32" i="22"/>
  <c r="AR36" i="22"/>
  <c r="AH18" i="22"/>
  <c r="X32" i="22"/>
  <c r="AC26" i="22"/>
  <c r="I28" i="22"/>
  <c r="AC36" i="22"/>
  <c r="AW32" i="22"/>
  <c r="N33" i="22"/>
  <c r="AW30" i="22"/>
  <c r="I33" i="22"/>
  <c r="I38" i="22"/>
  <c r="AW33" i="22"/>
  <c r="AW42" i="22"/>
  <c r="S35" i="22"/>
  <c r="AH29" i="22"/>
  <c r="X28" i="22"/>
  <c r="D26" i="22"/>
  <c r="N21" i="22"/>
  <c r="D38" i="22"/>
  <c r="S32" i="22"/>
  <c r="D34" i="22"/>
  <c r="AR39" i="22"/>
  <c r="I39" i="22"/>
  <c r="AR21" i="22"/>
  <c r="X36" i="22"/>
  <c r="AR40" i="22"/>
  <c r="N40" i="22"/>
  <c r="I16" i="22"/>
  <c r="AR15" i="22"/>
  <c r="X43" i="22"/>
  <c r="S28" i="22"/>
  <c r="AW43" i="22"/>
  <c r="N20" i="22"/>
  <c r="AW16" i="22"/>
  <c r="AM21" i="22"/>
  <c r="AM31" i="22"/>
  <c r="D25" i="22"/>
  <c r="AW20" i="22"/>
  <c r="X15" i="22"/>
  <c r="N31" i="22"/>
  <c r="AM37" i="22"/>
  <c r="N34" i="22"/>
  <c r="AR41" i="22"/>
  <c r="D18" i="22"/>
  <c r="AM27" i="22"/>
  <c r="AR20" i="22"/>
  <c r="D31" i="22"/>
  <c r="I40" i="22"/>
  <c r="AR29" i="22"/>
  <c r="AH40" i="22"/>
  <c r="AH20" i="22"/>
  <c r="S15" i="22"/>
  <c r="I20" i="22"/>
  <c r="AH31" i="22"/>
  <c r="AM29" i="22"/>
  <c r="AH15" i="22"/>
  <c r="AR43" i="22"/>
  <c r="AM43" i="22"/>
  <c r="X18" i="22"/>
  <c r="AC34" i="22"/>
  <c r="AC15" i="22"/>
  <c r="C22" i="22"/>
  <c r="I30" i="22"/>
  <c r="AC16" i="22"/>
  <c r="I25" i="22"/>
  <c r="N16" i="22"/>
  <c r="X31" i="22"/>
  <c r="N42" i="22"/>
  <c r="D36" i="22"/>
  <c r="AR18" i="22"/>
  <c r="AM15" i="22"/>
  <c r="D28" i="22"/>
  <c r="N18" i="22"/>
  <c r="AH16" i="22"/>
  <c r="AC20" i="22"/>
  <c r="D30" i="22"/>
  <c r="AH26" i="22"/>
  <c r="N43" i="22"/>
  <c r="I36" i="22"/>
  <c r="AR23" i="22"/>
  <c r="AR22" i="22"/>
  <c r="AR24" i="22"/>
  <c r="AR44" i="22"/>
  <c r="AC24" i="22"/>
  <c r="X22" i="22"/>
  <c r="AM24" i="22"/>
  <c r="I44" i="22"/>
  <c r="N22" i="22"/>
  <c r="N24" i="22"/>
  <c r="X23" i="22"/>
  <c r="AH24" i="22"/>
  <c r="AC44" i="22"/>
  <c r="I23" i="22"/>
  <c r="I22" i="22"/>
  <c r="I24" i="22"/>
  <c r="S23" i="22"/>
  <c r="AH22" i="22"/>
  <c r="X44" i="22"/>
  <c r="S44" i="22"/>
  <c r="AC23" i="22"/>
  <c r="N44" i="22"/>
  <c r="AM23" i="22"/>
  <c r="S24" i="22"/>
  <c r="N23" i="22"/>
  <c r="AH44" i="22"/>
  <c r="AM22" i="22"/>
  <c r="AH23" i="22"/>
  <c r="AC22" i="22"/>
  <c r="AM44" i="22"/>
  <c r="X24" i="22"/>
  <c r="S22" i="22"/>
  <c r="AQ9" i="1"/>
  <c r="AN9" i="1"/>
  <c r="AP9" i="1"/>
  <c r="AV9" i="1"/>
  <c r="AO9" i="1"/>
  <c r="AU9" i="1"/>
  <c r="M24" i="16"/>
  <c r="U25" i="16"/>
  <c r="M23" i="19"/>
  <c r="U24" i="19"/>
  <c r="U26" i="7"/>
  <c r="M25" i="7"/>
  <c r="AA9" i="14" l="1"/>
  <c r="AB9" i="14"/>
  <c r="AD9" i="14"/>
  <c r="AC9" i="14"/>
  <c r="AE9" i="14"/>
  <c r="C46" i="22"/>
  <c r="D22" i="22"/>
  <c r="Z9" i="14"/>
  <c r="U9" i="14"/>
  <c r="Y9" i="14"/>
  <c r="W9" i="14"/>
  <c r="U25" i="19"/>
  <c r="M24" i="19"/>
  <c r="M26" i="7"/>
  <c r="U27" i="7"/>
  <c r="U26" i="16"/>
  <c r="M25" i="16"/>
  <c r="D46" i="22" l="1"/>
  <c r="C47" i="22"/>
  <c r="C48" i="22"/>
  <c r="AG9" i="14"/>
  <c r="U27" i="16"/>
  <c r="M26" i="16"/>
  <c r="U28" i="7"/>
  <c r="M27" i="7"/>
  <c r="U26" i="19"/>
  <c r="M25" i="19"/>
  <c r="M28" i="7" l="1"/>
  <c r="U29" i="7"/>
  <c r="U27" i="19"/>
  <c r="M26" i="19"/>
  <c r="M27" i="16"/>
  <c r="U28" i="16"/>
  <c r="M28" i="16" l="1"/>
  <c r="U29" i="16"/>
  <c r="U28" i="19"/>
  <c r="M27" i="19"/>
  <c r="U30" i="7"/>
  <c r="M29" i="7"/>
  <c r="U31" i="7" l="1"/>
  <c r="M30" i="7"/>
  <c r="U29" i="19"/>
  <c r="M28" i="19"/>
  <c r="M29" i="16"/>
  <c r="U30" i="16"/>
  <c r="U31" i="16" l="1"/>
  <c r="M30" i="16"/>
  <c r="M29" i="19"/>
  <c r="U30" i="19"/>
  <c r="U32" i="7"/>
  <c r="M31" i="7"/>
  <c r="U33" i="7" l="1"/>
  <c r="M32" i="7"/>
  <c r="M30" i="19"/>
  <c r="U31" i="19"/>
  <c r="U32" i="16"/>
  <c r="M31" i="16"/>
  <c r="U33" i="16" l="1"/>
  <c r="M32" i="16"/>
  <c r="U32" i="19"/>
  <c r="M31" i="19"/>
  <c r="M33" i="7"/>
  <c r="U34" i="7"/>
  <c r="M34" i="7" l="1"/>
  <c r="U35" i="7"/>
  <c r="U33" i="19"/>
  <c r="M32" i="19"/>
  <c r="U34" i="16"/>
  <c r="M33" i="16"/>
  <c r="U34" i="19" l="1"/>
  <c r="M33" i="19"/>
  <c r="U36" i="7"/>
  <c r="M35" i="7"/>
  <c r="U35" i="16"/>
  <c r="M34" i="16"/>
  <c r="M36" i="7" l="1"/>
  <c r="U37" i="7"/>
  <c r="M35" i="16"/>
  <c r="U36" i="16"/>
  <c r="M34" i="19"/>
  <c r="U35" i="19"/>
  <c r="M35" i="19" l="1"/>
  <c r="U36" i="19"/>
  <c r="M36" i="16"/>
  <c r="U37" i="16"/>
  <c r="U38" i="7"/>
  <c r="M37" i="7"/>
  <c r="U39" i="7" l="1"/>
  <c r="M38" i="7"/>
  <c r="U38" i="16"/>
  <c r="M37" i="16"/>
  <c r="M36" i="19"/>
  <c r="U37" i="19"/>
  <c r="U38" i="19" l="1"/>
  <c r="U39" i="19" s="1"/>
  <c r="U40" i="19" s="1"/>
  <c r="U41" i="19" s="1"/>
  <c r="M37" i="19"/>
  <c r="U39" i="16"/>
  <c r="M38" i="16"/>
  <c r="U40" i="7"/>
  <c r="M39" i="7"/>
  <c r="U41" i="7" l="1"/>
  <c r="M40" i="7"/>
  <c r="U40" i="16"/>
  <c r="M39" i="16"/>
  <c r="U42" i="7" l="1"/>
  <c r="M42" i="7" s="1"/>
  <c r="M41" i="7"/>
  <c r="U41" i="16"/>
  <c r="M41" i="16" s="1"/>
  <c r="M40" i="16"/>
</calcChain>
</file>

<file path=xl/sharedStrings.xml><?xml version="1.0" encoding="utf-8"?>
<sst xmlns="http://schemas.openxmlformats.org/spreadsheetml/2006/main" count="2539" uniqueCount="294">
  <si>
    <t>The Aguirre Townhouse - Las Piñas</t>
  </si>
  <si>
    <t>Standard Computation</t>
  </si>
  <si>
    <t>Unit Count</t>
  </si>
  <si>
    <t>UNIT ID</t>
  </si>
  <si>
    <t>INVENTORY STATUS</t>
  </si>
  <si>
    <t>Lot Type</t>
  </si>
  <si>
    <t>Orientation</t>
  </si>
  <si>
    <t>Model Name</t>
  </si>
  <si>
    <t>House Type</t>
  </si>
  <si>
    <t>Floor Area</t>
  </si>
  <si>
    <t>Actual Lot Area</t>
  </si>
  <si>
    <t>Loose Lots</t>
  </si>
  <si>
    <t>total additives</t>
  </si>
  <si>
    <t>Typical Selling Price</t>
  </si>
  <si>
    <t>Total Selling Price</t>
  </si>
  <si>
    <t>NSP/SQM</t>
  </si>
  <si>
    <t>NEW SELLING PRICE</t>
  </si>
  <si>
    <t>TOTAL CONTRACT PRICE</t>
  </si>
  <si>
    <t>RESERVATION FEE</t>
  </si>
  <si>
    <t>( = ) NET EQUITY</t>
  </si>
  <si>
    <t>EQUITY MONTHS</t>
  </si>
  <si>
    <t>MONTHLY EQUITY</t>
  </si>
  <si>
    <t>Via Bank Loan (Amort)</t>
  </si>
  <si>
    <t>Via In-House Financing (Amort)</t>
  </si>
  <si>
    <t>In-House Financing (Amort)</t>
  </si>
  <si>
    <t>INCREASE 1</t>
  </si>
  <si>
    <t>INCREASE 2</t>
  </si>
  <si>
    <t>INCREASE 3</t>
  </si>
  <si>
    <t>INCREASE 4</t>
  </si>
  <si>
    <t>INCREASE 5</t>
  </si>
  <si>
    <t>INCREASE 6</t>
  </si>
  <si>
    <t>Legal and Misc. Fees</t>
  </si>
  <si>
    <t>Bank Fees</t>
  </si>
  <si>
    <t>SPOT EQUITY DOWN PAYMENT</t>
  </si>
  <si>
    <t>EQUITY DOWN PAYMENT</t>
  </si>
  <si>
    <t>BALANCE ON TCP</t>
  </si>
  <si>
    <t>10 years 
@ 7%
5 year fixing</t>
  </si>
  <si>
    <t>15 years 
@ 7%
5 year fixing</t>
  </si>
  <si>
    <t>20 years 
@ 7%
5 year fixing</t>
  </si>
  <si>
    <t>5 years @ 16% Interest Rate</t>
  </si>
  <si>
    <t>10 years @ 18% Interest Rate</t>
  </si>
  <si>
    <t>5 years @ 10% Interest Rate</t>
  </si>
  <si>
    <t>Unit 1</t>
  </si>
  <si>
    <t>Not for Sale</t>
  </si>
  <si>
    <t>End Lot</t>
  </si>
  <si>
    <t>2 Storey</t>
  </si>
  <si>
    <t>Unit 2</t>
  </si>
  <si>
    <t>Unsold</t>
  </si>
  <si>
    <t>Inner</t>
  </si>
  <si>
    <t>Unit 3</t>
  </si>
  <si>
    <t>Unit 4</t>
  </si>
  <si>
    <t>Unit 5</t>
  </si>
  <si>
    <t>Unit 6</t>
  </si>
  <si>
    <t>Unit 7</t>
  </si>
  <si>
    <t>Unit 8</t>
  </si>
  <si>
    <t>Unit 9</t>
  </si>
  <si>
    <t xml:space="preserve">NOTE: </t>
  </si>
  <si>
    <t xml:space="preserve">***Reservation Fee is non-refundable. </t>
  </si>
  <si>
    <t>***Prices and Payment Schemes may change without prior notice.</t>
  </si>
  <si>
    <t>***Prices are inclusive of Legal and Miscellaneous Fees</t>
  </si>
  <si>
    <t>***Bank Fees are assumptions based on current rates.</t>
  </si>
  <si>
    <t>***Official Selling Price shall be based on signed/approved Reservation Agreement Forms.</t>
  </si>
  <si>
    <r>
      <t>***Check Payable to</t>
    </r>
    <r>
      <rPr>
        <b/>
        <u val="singleAccounting"/>
        <sz val="10"/>
        <rFont val="Lato"/>
        <family val="2"/>
      </rPr>
      <t xml:space="preserve"> CESAR LEE HIONG L. WEE, JR.</t>
    </r>
  </si>
  <si>
    <t>total</t>
  </si>
  <si>
    <t>The Aguirre Townhouse Las Piñas - Pricelist</t>
  </si>
  <si>
    <t>Step Up Computation</t>
  </si>
  <si>
    <t>Lot Area</t>
  </si>
  <si>
    <t>EQUIY MONTHS</t>
  </si>
  <si>
    <t>STEP UP COMPUTATION</t>
  </si>
  <si>
    <t>NO. OF MONTHS</t>
  </si>
  <si>
    <t>MONTHLY PAYMENT</t>
  </si>
  <si>
    <t xml:space="preserve">***Prices are VAT Exclusive. </t>
  </si>
  <si>
    <t>PROJECT</t>
  </si>
  <si>
    <t>:</t>
  </si>
  <si>
    <t>UNIT NO</t>
  </si>
  <si>
    <t>HOUSE TYPE</t>
  </si>
  <si>
    <t>EQUITY PERCENTAGE</t>
  </si>
  <si>
    <t>EQUITY TERMS</t>
  </si>
  <si>
    <t>DATE OF RESERVATION</t>
  </si>
  <si>
    <t>NAME OF BUYER</t>
  </si>
  <si>
    <t>BUYER The Aguirre Townhouse Las Piñas</t>
  </si>
  <si>
    <t>BUYERS ADDRESS</t>
  </si>
  <si>
    <t>NAME OF SELLER</t>
  </si>
  <si>
    <t>SELLER The Aguirre Townhouse Las Piñas</t>
  </si>
  <si>
    <t>STEP UP TERMS</t>
  </si>
  <si>
    <t>#</t>
  </si>
  <si>
    <t>MONTHS COVERED</t>
  </si>
  <si>
    <t>PERCENTAGE</t>
  </si>
  <si>
    <t>STEP UP Tranche 1</t>
  </si>
  <si>
    <t>STEP UP Tranche 2</t>
  </si>
  <si>
    <t>STEP UP Tranche 3</t>
  </si>
  <si>
    <t>TOTAL</t>
  </si>
  <si>
    <t>SQM</t>
  </si>
  <si>
    <t>FLOOR AREA</t>
  </si>
  <si>
    <t>LOT AREA</t>
  </si>
  <si>
    <t>ACTUAL LOT AREA</t>
  </si>
  <si>
    <t>1st Sale</t>
  </si>
  <si>
    <t>2nd Sale</t>
  </si>
  <si>
    <t>3rd Sale</t>
  </si>
  <si>
    <t>TOTAL INCENTIVE</t>
  </si>
  <si>
    <t>1st Tranche</t>
  </si>
  <si>
    <t>2nd Tranche</t>
  </si>
  <si>
    <t>3rd Tranche</t>
  </si>
  <si>
    <t>4th Tranche</t>
  </si>
  <si>
    <t>variance</t>
  </si>
  <si>
    <t>Elements</t>
  </si>
  <si>
    <t>LEGAL AND MISCELLANEOUS FEES</t>
  </si>
  <si>
    <t>NET SELLING PRICE</t>
  </si>
  <si>
    <t>LOW</t>
  </si>
  <si>
    <t>MID</t>
  </si>
  <si>
    <t>HIGH</t>
  </si>
  <si>
    <t>PARTICULAR</t>
  </si>
  <si>
    <t>(5%)</t>
  </si>
  <si>
    <t>Unit 10</t>
  </si>
  <si>
    <t>Gross Area</t>
  </si>
  <si>
    <t>SP/SQM</t>
  </si>
  <si>
    <t>LOT ONLY</t>
  </si>
  <si>
    <t>TSP</t>
  </si>
  <si>
    <t>CTS and DOAS Amount (House &amp; Lot) 45% of TSP</t>
  </si>
  <si>
    <t>LMF</t>
  </si>
  <si>
    <t>Processing fees</t>
  </si>
  <si>
    <t>Fire extinguisher (2 pcs)</t>
  </si>
  <si>
    <t>Occupancy Permit</t>
  </si>
  <si>
    <t>Water Conection</t>
  </si>
  <si>
    <t>Meralco Connection</t>
  </si>
  <si>
    <t>TCT cost</t>
  </si>
  <si>
    <t>DOAS Notarization</t>
  </si>
  <si>
    <t>Capital Gains</t>
  </si>
  <si>
    <t>Documetary Stamp Tax</t>
  </si>
  <si>
    <t>TransferTax Fee</t>
  </si>
  <si>
    <t>SOP for Transfer Tax SOA &amp; payment</t>
  </si>
  <si>
    <t>TransferTax Certification Fee</t>
  </si>
  <si>
    <t>SOP for Transfer Tax Certification</t>
  </si>
  <si>
    <t>Tax Clearance (Land&amp;Building)</t>
  </si>
  <si>
    <t>SOP for Tax Clearance Land &amp; Bldg.</t>
  </si>
  <si>
    <t>Tax Declaration(Land)</t>
  </si>
  <si>
    <t>Tax Declaration (Building)</t>
  </si>
  <si>
    <t>eCAR Fee</t>
  </si>
  <si>
    <t>Documentary Stamp (17 pcs@Php 50.00 each)</t>
  </si>
  <si>
    <t>Transfer Tax Declaration (Land)</t>
  </si>
  <si>
    <t>Transfer Tax Declaration (Building)</t>
  </si>
  <si>
    <t>SOP for Transfer Tax Dec (Land &amp; Bldg.)</t>
  </si>
  <si>
    <t>Tax Clearance (Buyer)</t>
  </si>
  <si>
    <t>SOP for Tax Clearance Land &amp; Bldg. (Bank)</t>
  </si>
  <si>
    <t>LRA AND IT Fees of ROD</t>
  </si>
  <si>
    <t>MC Fees (DST, EWT, Transfer Fee, LRA and IT Fees@ Php 50.00 each)</t>
  </si>
  <si>
    <t>Tin Verification Print-out</t>
  </si>
  <si>
    <t>BIR ECAR SOP</t>
  </si>
  <si>
    <t>REPRESENTATION</t>
  </si>
  <si>
    <t>Bank Fees (2.5%)</t>
  </si>
  <si>
    <t>Actual LMF and Percentage from Total Selling Price</t>
  </si>
  <si>
    <t>EXCESS AMOUNT</t>
  </si>
  <si>
    <t>NOTE: THIS IS ONLY FOR THE GOVERNMENT COMPLIANCE EXPENSES</t>
  </si>
  <si>
    <t>CTS and DOAS Amount (Lot Only)</t>
  </si>
  <si>
    <t>( + ) Capital Gain Tax</t>
  </si>
  <si>
    <t>( + ) Commission</t>
  </si>
  <si>
    <t>( = ) Total Selling Price</t>
  </si>
  <si>
    <t>DATE :</t>
  </si>
  <si>
    <t>PAGE</t>
  </si>
  <si>
    <t>1 of 1</t>
  </si>
  <si>
    <t>STANDARD PACKAGE COMPUTATION</t>
  </si>
  <si>
    <t>PAYMENT SCHEDULE</t>
  </si>
  <si>
    <t>CLIENT'S NAME</t>
  </si>
  <si>
    <t>PROJECT NAME</t>
  </si>
  <si>
    <t>The Elements Las Piñas</t>
  </si>
  <si>
    <t>UNIT NUMBER</t>
  </si>
  <si>
    <t>San Diego Unit A</t>
  </si>
  <si>
    <t>TOWER</t>
  </si>
  <si>
    <t>N/A</t>
  </si>
  <si>
    <t>UNIT TYPE</t>
  </si>
  <si>
    <t>SQM.</t>
  </si>
  <si>
    <t>LIVEABLE AREA</t>
  </si>
  <si>
    <t>BALCONY AREA</t>
  </si>
  <si>
    <t>GROSS AREA</t>
  </si>
  <si>
    <t>TOTAL SELLING PRICE</t>
  </si>
  <si>
    <t>PARTICULARS</t>
  </si>
  <si>
    <t>DATE</t>
  </si>
  <si>
    <t>AMOUNT</t>
  </si>
  <si>
    <t>REMARKS</t>
  </si>
  <si>
    <t>Less: Promo Discount on TSP</t>
  </si>
  <si>
    <t>NET SELLING PRICE per SQM</t>
  </si>
  <si>
    <t>1st Equity Payment</t>
  </si>
  <si>
    <t>31st of the month</t>
  </si>
  <si>
    <t>2nd Equity Payment</t>
  </si>
  <si>
    <t>balance</t>
  </si>
  <si>
    <t>Add: bank Fees</t>
  </si>
  <si>
    <t>3rd Equity Payment</t>
  </si>
  <si>
    <t>equity</t>
  </si>
  <si>
    <t>Add: Legal &amp; Misc. Fees</t>
  </si>
  <si>
    <t>4th Equity Payment</t>
  </si>
  <si>
    <t>5th Equity Payment</t>
  </si>
  <si>
    <t>6th Equity Payment</t>
  </si>
  <si>
    <t>7th Equity Payment</t>
  </si>
  <si>
    <t>Equity down Payment</t>
  </si>
  <si>
    <t>8th Equity Payment</t>
  </si>
  <si>
    <t xml:space="preserve">less: Promo Discount on Equity </t>
  </si>
  <si>
    <t>9th Equity Payment</t>
  </si>
  <si>
    <t>less: Reservation Fee</t>
  </si>
  <si>
    <t>10th Equity Payment</t>
  </si>
  <si>
    <t>Net  Equity Payment</t>
  </si>
  <si>
    <t>11th Equity Payment</t>
  </si>
  <si>
    <t>12th Equity Payment</t>
  </si>
  <si>
    <t xml:space="preserve"> Monthly Equity</t>
  </si>
  <si>
    <t>BALANCE</t>
  </si>
  <si>
    <t>13th EQUITY PAYMENT</t>
  </si>
  <si>
    <t>Lumpsum Payment</t>
  </si>
  <si>
    <t>14th EQUITY PAYMENT</t>
  </si>
  <si>
    <t>FULL BALANCE (TCP)</t>
  </si>
  <si>
    <t>15th EQUITY PAYMENT</t>
  </si>
  <si>
    <t>16th EQUITY PAYMENT</t>
  </si>
  <si>
    <t>Estimated Monthly Amortization</t>
  </si>
  <si>
    <t>17th EQUITY PAYMENT</t>
  </si>
  <si>
    <t>18th EQUITY PAYMENT</t>
  </si>
  <si>
    <t>Term</t>
  </si>
  <si>
    <t>Interest Rate</t>
  </si>
  <si>
    <t>Factor Rate</t>
  </si>
  <si>
    <t>Amount</t>
  </si>
  <si>
    <t>Income Requirement</t>
  </si>
  <si>
    <t>Prepared by:</t>
  </si>
  <si>
    <t>Conformed:</t>
  </si>
  <si>
    <t>19th EQUITY PAYMENT</t>
  </si>
  <si>
    <t>20th EQUITY PAYMENT</t>
  </si>
  <si>
    <t>21st EQUITY PAYMENT</t>
  </si>
  <si>
    <t>22nd EQUITY PAYMENT</t>
  </si>
  <si>
    <t>Date</t>
  </si>
  <si>
    <t>Date:</t>
  </si>
  <si>
    <t>Fixed for five (5) years</t>
  </si>
  <si>
    <t>Sample Computation for Interest rate is at 7% fixed for five (5) years only</t>
  </si>
  <si>
    <t>A. Prices are subject to change without prior notice.</t>
  </si>
  <si>
    <t>B. Bank Fees rates may vary per bank.</t>
  </si>
  <si>
    <t>IN-HOUSE COMPUTATION</t>
  </si>
  <si>
    <t>Monthly Amortization</t>
  </si>
  <si>
    <t>15 Years</t>
  </si>
  <si>
    <t>10 Years</t>
  </si>
  <si>
    <t>23rd EQUITY PAYMENT</t>
  </si>
  <si>
    <t>24th EQUITY PAYMENT</t>
  </si>
  <si>
    <t>25th EQUITY PAYMENT</t>
  </si>
  <si>
    <t>26th EQUITY PAYMENT</t>
  </si>
  <si>
    <t>27th EQUITY PAYMENT</t>
  </si>
  <si>
    <t>28th EQUITY PAYMENT</t>
  </si>
  <si>
    <t>36th EQUITY PAYMENT</t>
  </si>
  <si>
    <t>37th EQUITY PAYMENT</t>
  </si>
  <si>
    <t>38th EQUITY PAYMENT</t>
  </si>
  <si>
    <t>39th EQUITY PAYMENT</t>
  </si>
  <si>
    <t>40th EQUITY PAYMENT</t>
  </si>
  <si>
    <t>41st EQUITY PAYMENT</t>
  </si>
  <si>
    <t>42nd EQUITY PAYMENT</t>
  </si>
  <si>
    <t>43rd EQUITY PAYMENT</t>
  </si>
  <si>
    <t>44th EQUITY PAYMENT</t>
  </si>
  <si>
    <t>45th EQUITY PAYMENT</t>
  </si>
  <si>
    <t>46th EQUITY PAYMENT</t>
  </si>
  <si>
    <t>San Diego Unit B</t>
  </si>
  <si>
    <t>San Diego Unit C</t>
  </si>
  <si>
    <t>San Esteban Unit A</t>
  </si>
  <si>
    <t>San Esteban Unit B</t>
  </si>
  <si>
    <t>SPOT EQUITY</t>
  </si>
  <si>
    <t>Spot Equity down Payment</t>
  </si>
  <si>
    <t>5 Years</t>
  </si>
  <si>
    <t>HOUSE NUMBER</t>
  </si>
  <si>
    <t>Spot Equity</t>
  </si>
  <si>
    <t>Spot Equity Down Payment</t>
  </si>
  <si>
    <t>Net Spot Equity Payment</t>
  </si>
  <si>
    <t>Equity Down Payment</t>
  </si>
  <si>
    <t>Monthly Equity</t>
  </si>
  <si>
    <t>13th Equity Payment</t>
  </si>
  <si>
    <t>14th Equity Payment</t>
  </si>
  <si>
    <t>15th Equity Payment</t>
  </si>
  <si>
    <t>16th Equity Payment</t>
  </si>
  <si>
    <t>17th Equity Payment</t>
  </si>
  <si>
    <t>18th Equity Payment</t>
  </si>
  <si>
    <t>19th Equity Payment</t>
  </si>
  <si>
    <t>20th Equity Payment</t>
  </si>
  <si>
    <t>21st Equity Payment</t>
  </si>
  <si>
    <t>22nd Equity Payment</t>
  </si>
  <si>
    <t>23rd Equity Payment</t>
  </si>
  <si>
    <t>24th Equity Payment</t>
  </si>
  <si>
    <t>Variance</t>
  </si>
  <si>
    <t>Pine Road Unit A</t>
  </si>
  <si>
    <t>STEP UP PACKAGE COMPUTATION</t>
  </si>
  <si>
    <t>TERMS (STEP UP)</t>
  </si>
  <si>
    <t>Percentage</t>
  </si>
  <si>
    <t>No. of Months</t>
  </si>
  <si>
    <t xml:space="preserve">Monthly Equity </t>
  </si>
  <si>
    <t>STEP UP 1</t>
  </si>
  <si>
    <t>STEP UP 2</t>
  </si>
  <si>
    <t>STEP UP 3</t>
  </si>
  <si>
    <t>SPOT CASH_30 DAYS</t>
  </si>
  <si>
    <t>Less:  Discount on TSP</t>
  </si>
  <si>
    <t>SPOT CASH PAYMENT</t>
  </si>
  <si>
    <t>Less: Reservation Fee</t>
  </si>
  <si>
    <t>NET SPOT CASH PAYMENT</t>
  </si>
  <si>
    <t>SPOT CASH_60 DAYS</t>
  </si>
  <si>
    <t>SPOT CASH PAYMENT 1</t>
  </si>
  <si>
    <t>SPOT CASH PAYMENT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</si>
</sst>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&quot;₱&quot;#,##0.00"/>
    <numFmt numFmtId="167" formatCode="_(* #,##0_);_(* \(#,##0\);_(* &quot;-&quot;??_);_(@_)"/>
    <numFmt numFmtId="168" formatCode="[$-409]mmmm\ d\,\ yyyy;@"/>
    <numFmt numFmtId="169" formatCode="0.00_ "/>
    <numFmt numFmtId="170" formatCode="[$-409]dd\-mmm\-yy;@"/>
    <numFmt numFmtId="171" formatCode="[$Php-3409]#,##0.00"/>
    <numFmt numFmtId="172" formatCode="[$-409]d\-mmm\-yy;@"/>
    <numFmt numFmtId="173" formatCode="#,##0.00000000"/>
    <numFmt numFmtId="174" formatCode="#,##0.00;#,##0.00"/>
    <numFmt numFmtId="175" formatCode="_(* #,##0.00_);_(* \(#,##0.00\);_(* &quot;-&quot;??.0_);_(@_)"/>
    <numFmt numFmtId="176" formatCode="[$-3409]dd\-mmm\-yy;@"/>
    <numFmt numFmtId="177" formatCode="#,##0.000000000_);[Red]\(#,##0.000000000\)"/>
    <numFmt numFmtId="178" formatCode="0.000%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color theme="0"/>
      <name val="Century Gothic"/>
      <family val="2"/>
    </font>
    <font>
      <sz val="10"/>
      <color theme="0"/>
      <name val="Century Gothic"/>
      <family val="2"/>
    </font>
    <font>
      <sz val="9"/>
      <color theme="0"/>
      <name val="Century Gothic"/>
      <family val="2"/>
    </font>
    <font>
      <sz val="11"/>
      <color rgb="FF000000"/>
      <name val="Calibri"/>
      <family val="2"/>
    </font>
    <font>
      <i/>
      <sz val="9"/>
      <name val="Century Gothic"/>
      <family val="2"/>
    </font>
    <font>
      <sz val="9"/>
      <name val="Century Gothic"/>
      <family val="2"/>
    </font>
    <font>
      <b/>
      <i/>
      <sz val="10"/>
      <name val="Century Gothic"/>
      <family val="2"/>
    </font>
    <font>
      <i/>
      <sz val="10"/>
      <name val="Century Gothic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10"/>
      <color theme="3" tint="0.39997558519241921"/>
      <name val="Barlow"/>
    </font>
    <font>
      <sz val="10"/>
      <color indexed="8"/>
      <name val="Barlow"/>
    </font>
    <font>
      <sz val="10"/>
      <name val="Barlow"/>
    </font>
    <font>
      <b/>
      <sz val="10"/>
      <name val="Barlow"/>
    </font>
    <font>
      <b/>
      <sz val="10"/>
      <color theme="0"/>
      <name val="Barlow"/>
    </font>
    <font>
      <b/>
      <sz val="10"/>
      <color rgb="FFFF0000"/>
      <name val="Barlow"/>
    </font>
    <font>
      <b/>
      <sz val="10"/>
      <color indexed="8"/>
      <name val="Barlow"/>
    </font>
    <font>
      <b/>
      <sz val="11"/>
      <color theme="1"/>
      <name val="Calibri"/>
      <family val="2"/>
      <scheme val="minor"/>
    </font>
    <font>
      <sz val="10"/>
      <color rgb="FFFF0000"/>
      <name val="Lato"/>
      <family val="2"/>
    </font>
    <font>
      <sz val="10"/>
      <color theme="1"/>
      <name val="Lato"/>
      <family val="2"/>
    </font>
    <font>
      <b/>
      <sz val="10"/>
      <color theme="1"/>
      <name val="Lato"/>
      <family val="2"/>
    </font>
    <font>
      <b/>
      <sz val="10"/>
      <name val="Lato"/>
      <family val="2"/>
    </font>
    <font>
      <b/>
      <sz val="10"/>
      <color rgb="FFFF0000"/>
      <name val="Lato"/>
      <family val="2"/>
    </font>
    <font>
      <sz val="10"/>
      <color theme="0"/>
      <name val="Lato"/>
      <family val="2"/>
    </font>
    <font>
      <sz val="10"/>
      <name val="Lato"/>
      <family val="2"/>
    </font>
    <font>
      <b/>
      <sz val="10"/>
      <color rgb="FF444950"/>
      <name val="Lato"/>
      <family val="2"/>
    </font>
    <font>
      <b/>
      <u val="singleAccounting"/>
      <sz val="10"/>
      <name val="Lato"/>
      <family val="2"/>
    </font>
    <font>
      <b/>
      <sz val="10"/>
      <color theme="0"/>
      <name val="Lato"/>
      <family val="2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sz val="1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1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b/>
      <sz val="9"/>
      <color theme="0"/>
      <name val="Century Gothic"/>
      <family val="2"/>
    </font>
    <font>
      <b/>
      <sz val="9"/>
      <color theme="1"/>
      <name val="Century Gothic"/>
      <family val="2"/>
    </font>
    <font>
      <b/>
      <sz val="9"/>
      <name val="Century Gothic"/>
      <family val="2"/>
    </font>
    <font>
      <sz val="9"/>
      <color theme="1"/>
      <name val="Century Gothic"/>
      <family val="2"/>
    </font>
    <font>
      <sz val="10"/>
      <color theme="0"/>
      <name val="Lato"/>
      <family val="2"/>
    </font>
    <font>
      <sz val="9"/>
      <color theme="1"/>
      <name val="Lato"/>
      <family val="2"/>
    </font>
    <font>
      <b/>
      <sz val="9"/>
      <color theme="1"/>
      <name val="Lato"/>
      <family val="2"/>
    </font>
    <font>
      <sz val="9"/>
      <color rgb="FFFF0000"/>
      <name val="Lato"/>
      <family val="2"/>
    </font>
    <font>
      <b/>
      <sz val="9"/>
      <color rgb="FFFF0000"/>
      <name val="Lato"/>
      <family val="2"/>
    </font>
    <font>
      <sz val="10"/>
      <color rgb="FFFF0000"/>
      <name val="Lato"/>
      <family val="2"/>
    </font>
    <font>
      <sz val="10"/>
      <color rgb="FFFF0000"/>
      <name val="Barlow"/>
    </font>
    <font>
      <b/>
      <sz val="10"/>
      <color rgb="FF0070C0"/>
      <name val="Barlow"/>
    </font>
    <font>
      <sz val="10"/>
      <color rgb="FFFF0000"/>
      <name val="Century Gothic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51"/>
      </patternFill>
    </fill>
    <fill>
      <patternFill patternType="solid">
        <fgColor theme="0"/>
        <bgColor rgb="FFFFC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/>
      <right/>
      <top/>
      <bottom style="medium">
        <color theme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>
      <left/>
      <right/>
      <top style="thin">
        <color indexed="64"/>
      </top>
      <bottom style="thin">
        <color theme="1" tint="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indexed="64"/>
      </right>
      <top style="thin">
        <color theme="1" tint="0.249977111117893"/>
      </top>
      <bottom style="thin">
        <color theme="1" tint="0.24997711111789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</cellStyleXfs>
  <cellXfs count="565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/>
    <xf numFmtId="167" fontId="3" fillId="2" borderId="0" xfId="3" applyNumberFormat="1" applyFont="1" applyFill="1" applyAlignment="1" applyProtection="1">
      <alignment horizontal="center"/>
    </xf>
    <xf numFmtId="9" fontId="4" fillId="2" borderId="0" xfId="0" applyNumberFormat="1" applyFont="1" applyFill="1"/>
    <xf numFmtId="168" fontId="2" fillId="2" borderId="0" xfId="0" applyNumberFormat="1" applyFont="1" applyFill="1"/>
    <xf numFmtId="0" fontId="5" fillId="2" borderId="0" xfId="0" applyFont="1" applyFill="1"/>
    <xf numFmtId="169" fontId="2" fillId="2" borderId="0" xfId="0" applyNumberFormat="1" applyFont="1" applyFill="1" applyAlignment="1">
      <alignment horizontal="center"/>
    </xf>
    <xf numFmtId="10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4" fillId="4" borderId="2" xfId="0" applyFont="1" applyFill="1" applyBorder="1" applyAlignment="1">
      <alignment vertical="center"/>
    </xf>
    <xf numFmtId="170" fontId="2" fillId="2" borderId="2" xfId="0" applyNumberFormat="1" applyFont="1" applyFill="1" applyBorder="1" applyAlignment="1">
      <alignment horizontal="center" vertical="center"/>
    </xf>
    <xf numFmtId="168" fontId="2" fillId="2" borderId="0" xfId="0" applyNumberFormat="1" applyFont="1" applyFill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68" fontId="2" fillId="2" borderId="0" xfId="0" applyNumberFormat="1" applyFont="1" applyFill="1" applyAlignment="1">
      <alignment horizontal="center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vertical="center"/>
    </xf>
    <xf numFmtId="0" fontId="4" fillId="4" borderId="3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4" borderId="6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0" xfId="3" applyNumberFormat="1" applyFont="1" applyFill="1" applyAlignment="1" applyProtection="1">
      <alignment vertical="center"/>
    </xf>
    <xf numFmtId="0" fontId="3" fillId="2" borderId="0" xfId="3" applyNumberFormat="1" applyFont="1" applyFill="1" applyBorder="1" applyAlignment="1" applyProtection="1">
      <alignment vertical="center"/>
    </xf>
    <xf numFmtId="0" fontId="3" fillId="2" borderId="0" xfId="3" applyNumberFormat="1" applyFont="1" applyFill="1" applyBorder="1" applyAlignment="1" applyProtection="1">
      <alignment horizontal="right" vertical="center"/>
    </xf>
    <xf numFmtId="43" fontId="2" fillId="2" borderId="0" xfId="3" applyFont="1" applyFill="1" applyAlignment="1" applyProtection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9" fontId="3" fillId="2" borderId="16" xfId="2" applyFont="1" applyFill="1" applyBorder="1" applyAlignment="1" applyProtection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4" fillId="4" borderId="0" xfId="0" applyFont="1" applyFill="1" applyAlignment="1">
      <alignment vertical="center"/>
    </xf>
    <xf numFmtId="172" fontId="2" fillId="2" borderId="1" xfId="0" applyNumberFormat="1" applyFont="1" applyFill="1" applyBorder="1" applyAlignment="1">
      <alignment horizontal="center" vertical="center"/>
    </xf>
    <xf numFmtId="171" fontId="3" fillId="2" borderId="0" xfId="0" applyNumberFormat="1" applyFont="1" applyFill="1" applyAlignment="1">
      <alignment horizontal="left" vertical="center"/>
    </xf>
    <xf numFmtId="171" fontId="3" fillId="2" borderId="0" xfId="3" applyNumberFormat="1" applyFont="1" applyFill="1" applyAlignment="1" applyProtection="1">
      <alignment vertical="center"/>
    </xf>
    <xf numFmtId="171" fontId="3" fillId="2" borderId="0" xfId="3" applyNumberFormat="1" applyFont="1" applyFill="1" applyBorder="1" applyAlignment="1" applyProtection="1">
      <alignment vertical="center"/>
    </xf>
    <xf numFmtId="165" fontId="2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9" fontId="3" fillId="2" borderId="0" xfId="2" applyFont="1" applyFill="1" applyAlignment="1" applyProtection="1">
      <alignment horizontal="center" vertical="center"/>
    </xf>
    <xf numFmtId="9" fontId="3" fillId="2" borderId="0" xfId="2" applyFont="1" applyFill="1" applyAlignment="1" applyProtection="1">
      <alignment horizontal="left" vertical="center"/>
    </xf>
    <xf numFmtId="171" fontId="3" fillId="2" borderId="0" xfId="0" applyNumberFormat="1" applyFont="1" applyFill="1" applyAlignment="1">
      <alignment vertical="center"/>
    </xf>
    <xf numFmtId="9" fontId="3" fillId="2" borderId="0" xfId="2" applyFont="1" applyFill="1" applyBorder="1" applyAlignment="1" applyProtection="1">
      <alignment vertical="center"/>
    </xf>
    <xf numFmtId="10" fontId="3" fillId="2" borderId="5" xfId="2" applyNumberFormat="1" applyFont="1" applyFill="1" applyBorder="1" applyAlignment="1" applyProtection="1">
      <alignment horizontal="center" vertical="center"/>
    </xf>
    <xf numFmtId="10" fontId="2" fillId="2" borderId="5" xfId="2" applyNumberFormat="1" applyFont="1" applyFill="1" applyBorder="1" applyAlignment="1" applyProtection="1">
      <alignment horizontal="center" vertical="center"/>
    </xf>
    <xf numFmtId="171" fontId="2" fillId="2" borderId="17" xfId="0" applyNumberFormat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171" fontId="2" fillId="2" borderId="23" xfId="0" applyNumberFormat="1" applyFont="1" applyFill="1" applyBorder="1" applyAlignment="1">
      <alignment horizontal="left" vertical="center"/>
    </xf>
    <xf numFmtId="171" fontId="2" fillId="2" borderId="24" xfId="0" applyNumberFormat="1" applyFont="1" applyFill="1" applyBorder="1" applyAlignment="1">
      <alignment horizontal="left" vertical="center"/>
    </xf>
    <xf numFmtId="171" fontId="2" fillId="2" borderId="25" xfId="0" applyNumberFormat="1" applyFont="1" applyFill="1" applyBorder="1" applyAlignment="1">
      <alignment vertical="center"/>
    </xf>
    <xf numFmtId="171" fontId="2" fillId="2" borderId="18" xfId="0" applyNumberFormat="1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17" fontId="3" fillId="2" borderId="0" xfId="0" applyNumberFormat="1" applyFont="1" applyFill="1" applyAlignment="1">
      <alignment horizontal="center" vertical="center"/>
    </xf>
    <xf numFmtId="172" fontId="3" fillId="2" borderId="1" xfId="0" applyNumberFormat="1" applyFont="1" applyFill="1" applyBorder="1" applyAlignment="1">
      <alignment horizontal="center" vertical="center"/>
    </xf>
    <xf numFmtId="165" fontId="3" fillId="2" borderId="5" xfId="2" applyNumberFormat="1" applyFont="1" applyFill="1" applyBorder="1" applyAlignment="1" applyProtection="1">
      <alignment horizontal="center" vertical="center"/>
    </xf>
    <xf numFmtId="172" fontId="3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vertical="center"/>
    </xf>
    <xf numFmtId="43" fontId="3" fillId="2" borderId="0" xfId="3" applyFont="1" applyFill="1" applyAlignment="1" applyProtection="1">
      <alignment vertical="center"/>
    </xf>
    <xf numFmtId="0" fontId="2" fillId="2" borderId="0" xfId="0" applyFont="1" applyFill="1" applyAlignment="1">
      <alignment horizontal="left" vertical="center"/>
    </xf>
    <xf numFmtId="43" fontId="2" fillId="2" borderId="0" xfId="3" applyFont="1" applyFill="1" applyAlignment="1" applyProtection="1">
      <alignment horizontal="left" vertical="center"/>
    </xf>
    <xf numFmtId="43" fontId="3" fillId="2" borderId="0" xfId="3" applyFont="1" applyFill="1" applyAlignment="1" applyProtection="1">
      <alignment horizontal="center" vertical="center"/>
    </xf>
    <xf numFmtId="0" fontId="3" fillId="2" borderId="0" xfId="0" applyFont="1" applyFill="1" applyAlignment="1">
      <alignment horizontal="left" vertical="center"/>
    </xf>
    <xf numFmtId="43" fontId="2" fillId="2" borderId="0" xfId="3" applyFont="1" applyFill="1" applyAlignment="1" applyProtection="1">
      <alignment horizontal="right" vertical="center"/>
    </xf>
    <xf numFmtId="0" fontId="4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5" fontId="2" fillId="2" borderId="1" xfId="2" applyNumberFormat="1" applyFont="1" applyFill="1" applyBorder="1" applyAlignment="1" applyProtection="1">
      <alignment horizontal="center" vertical="center"/>
    </xf>
    <xf numFmtId="173" fontId="2" fillId="5" borderId="1" xfId="6" applyNumberFormat="1" applyFont="1" applyFill="1" applyBorder="1" applyAlignment="1">
      <alignment horizontal="center" vertical="center"/>
    </xf>
    <xf numFmtId="171" fontId="2" fillId="2" borderId="1" xfId="3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165" fontId="2" fillId="2" borderId="0" xfId="2" applyNumberFormat="1" applyFont="1" applyFill="1" applyBorder="1" applyAlignment="1" applyProtection="1">
      <alignment horizontal="center" vertical="center"/>
    </xf>
    <xf numFmtId="173" fontId="2" fillId="5" borderId="0" xfId="6" applyNumberFormat="1" applyFont="1" applyFill="1" applyAlignment="1">
      <alignment horizontal="center" vertical="center"/>
    </xf>
    <xf numFmtId="43" fontId="2" fillId="2" borderId="0" xfId="3" applyFont="1" applyFill="1" applyBorder="1" applyAlignment="1" applyProtection="1">
      <alignment vertical="center"/>
    </xf>
    <xf numFmtId="164" fontId="2" fillId="2" borderId="0" xfId="0" applyNumberFormat="1" applyFont="1" applyFill="1" applyAlignment="1">
      <alignment horizontal="center" vertical="center"/>
    </xf>
    <xf numFmtId="0" fontId="2" fillId="2" borderId="27" xfId="0" applyFont="1" applyFill="1" applyBorder="1" applyAlignment="1">
      <alignment vertical="center"/>
    </xf>
    <xf numFmtId="164" fontId="2" fillId="6" borderId="28" xfId="0" applyNumberFormat="1" applyFont="1" applyFill="1" applyBorder="1"/>
    <xf numFmtId="0" fontId="2" fillId="2" borderId="0" xfId="6" applyFont="1" applyFill="1" applyAlignment="1">
      <alignment vertical="center"/>
    </xf>
    <xf numFmtId="0" fontId="9" fillId="2" borderId="0" xfId="0" applyFont="1" applyFill="1" applyAlignment="1">
      <alignment horizontal="center" vertical="center" wrapText="1"/>
    </xf>
    <xf numFmtId="171" fontId="9" fillId="2" borderId="0" xfId="0" applyNumberFormat="1" applyFont="1" applyFill="1" applyAlignment="1">
      <alignment horizontal="center" vertical="center" wrapText="1"/>
    </xf>
    <xf numFmtId="0" fontId="8" fillId="2" borderId="0" xfId="6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43" fontId="2" fillId="2" borderId="0" xfId="3" applyFont="1" applyFill="1" applyAlignment="1" applyProtection="1">
      <alignment horizontal="center"/>
    </xf>
    <xf numFmtId="43" fontId="2" fillId="2" borderId="0" xfId="3" applyFont="1" applyFill="1" applyProtection="1"/>
    <xf numFmtId="17" fontId="2" fillId="2" borderId="0" xfId="0" applyNumberFormat="1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17" fontId="2" fillId="2" borderId="0" xfId="0" applyNumberFormat="1" applyFont="1" applyFill="1"/>
    <xf numFmtId="164" fontId="2" fillId="2" borderId="0" xfId="0" applyNumberFormat="1" applyFont="1" applyFill="1"/>
    <xf numFmtId="0" fontId="2" fillId="2" borderId="29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9" fontId="2" fillId="2" borderId="29" xfId="0" applyNumberFormat="1" applyFont="1" applyFill="1" applyBorder="1" applyAlignment="1">
      <alignment horizontal="right"/>
    </xf>
    <xf numFmtId="174" fontId="2" fillId="2" borderId="0" xfId="6" applyNumberFormat="1" applyFont="1" applyFill="1" applyAlignment="1">
      <alignment vertical="top" wrapText="1"/>
    </xf>
    <xf numFmtId="164" fontId="2" fillId="2" borderId="29" xfId="7" applyFont="1" applyFill="1" applyBorder="1" applyProtection="1"/>
    <xf numFmtId="43" fontId="2" fillId="2" borderId="29" xfId="3" applyFont="1" applyFill="1" applyBorder="1" applyProtection="1"/>
    <xf numFmtId="175" fontId="2" fillId="2" borderId="29" xfId="3" applyNumberFormat="1" applyFont="1" applyFill="1" applyBorder="1" applyProtection="1"/>
    <xf numFmtId="165" fontId="2" fillId="2" borderId="29" xfId="2" applyNumberFormat="1" applyFont="1" applyFill="1" applyBorder="1" applyAlignment="1" applyProtection="1">
      <alignment horizontal="center"/>
    </xf>
    <xf numFmtId="43" fontId="2" fillId="2" borderId="1" xfId="3" applyFont="1" applyFill="1" applyBorder="1" applyProtection="1"/>
    <xf numFmtId="43" fontId="2" fillId="2" borderId="19" xfId="3" applyFont="1" applyFill="1" applyBorder="1" applyProtection="1"/>
    <xf numFmtId="10" fontId="2" fillId="2" borderId="19" xfId="2" applyNumberFormat="1" applyFont="1" applyFill="1" applyBorder="1" applyAlignment="1" applyProtection="1">
      <alignment horizontal="center"/>
    </xf>
    <xf numFmtId="169" fontId="2" fillId="2" borderId="1" xfId="0" applyNumberFormat="1" applyFont="1" applyFill="1" applyBorder="1" applyAlignment="1">
      <alignment horizontal="right"/>
    </xf>
    <xf numFmtId="174" fontId="2" fillId="2" borderId="28" xfId="0" applyNumberFormat="1" applyFont="1" applyFill="1" applyBorder="1" applyAlignment="1">
      <alignment vertical="top" wrapText="1"/>
    </xf>
    <xf numFmtId="174" fontId="2" fillId="2" borderId="0" xfId="0" applyNumberFormat="1" applyFont="1" applyFill="1" applyAlignment="1">
      <alignment vertical="top" wrapText="1"/>
    </xf>
    <xf numFmtId="175" fontId="2" fillId="2" borderId="1" xfId="3" applyNumberFormat="1" applyFont="1" applyFill="1" applyBorder="1" applyProtection="1"/>
    <xf numFmtId="165" fontId="2" fillId="2" borderId="1" xfId="2" applyNumberFormat="1" applyFont="1" applyFill="1" applyBorder="1" applyAlignment="1" applyProtection="1">
      <alignment horizontal="center"/>
    </xf>
    <xf numFmtId="43" fontId="2" fillId="2" borderId="10" xfId="3" applyFont="1" applyFill="1" applyBorder="1" applyProtection="1"/>
    <xf numFmtId="10" fontId="2" fillId="2" borderId="10" xfId="2" applyNumberFormat="1" applyFont="1" applyFill="1" applyBorder="1" applyAlignment="1" applyProtection="1">
      <alignment horizontal="center"/>
    </xf>
    <xf numFmtId="169" fontId="2" fillId="2" borderId="0" xfId="0" applyNumberFormat="1" applyFont="1" applyFill="1" applyAlignment="1">
      <alignment horizontal="right"/>
    </xf>
    <xf numFmtId="171" fontId="3" fillId="2" borderId="0" xfId="3" applyNumberFormat="1" applyFont="1" applyFill="1" applyBorder="1" applyAlignment="1" applyProtection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9" fontId="3" fillId="2" borderId="5" xfId="2" applyFont="1" applyFill="1" applyBorder="1" applyAlignment="1" applyProtection="1">
      <alignment horizontal="center" vertical="center"/>
    </xf>
    <xf numFmtId="43" fontId="3" fillId="2" borderId="27" xfId="3" applyFont="1" applyFill="1" applyBorder="1" applyAlignment="1" applyProtection="1">
      <alignment horizontal="center" vertical="center"/>
    </xf>
    <xf numFmtId="43" fontId="3" fillId="2" borderId="0" xfId="3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1" fontId="2" fillId="2" borderId="0" xfId="3" applyNumberFormat="1" applyFont="1" applyFill="1" applyBorder="1" applyAlignment="1" applyProtection="1">
      <alignment horizontal="center" vertical="center"/>
    </xf>
    <xf numFmtId="171" fontId="2" fillId="2" borderId="0" xfId="0" applyNumberFormat="1" applyFont="1" applyFill="1" applyAlignment="1">
      <alignment horizontal="center" vertical="center"/>
    </xf>
    <xf numFmtId="9" fontId="2" fillId="5" borderId="1" xfId="2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2" fontId="2" fillId="2" borderId="0" xfId="0" applyNumberFormat="1" applyFont="1" applyFill="1"/>
    <xf numFmtId="0" fontId="9" fillId="2" borderId="0" xfId="0" applyFont="1" applyFill="1"/>
    <xf numFmtId="0" fontId="9" fillId="2" borderId="12" xfId="0" applyFont="1" applyFill="1" applyBorder="1"/>
    <xf numFmtId="170" fontId="9" fillId="2" borderId="1" xfId="0" applyNumberFormat="1" applyFont="1" applyFill="1" applyBorder="1"/>
    <xf numFmtId="172" fontId="2" fillId="2" borderId="29" xfId="0" applyNumberFormat="1" applyFont="1" applyFill="1" applyBorder="1" applyAlignment="1">
      <alignment horizontal="center" vertical="center"/>
    </xf>
    <xf numFmtId="172" fontId="2" fillId="2" borderId="0" xfId="0" applyNumberFormat="1" applyFont="1" applyFill="1" applyAlignment="1">
      <alignment horizontal="center" vertical="center"/>
    </xf>
    <xf numFmtId="172" fontId="2" fillId="2" borderId="3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3" fontId="3" fillId="0" borderId="5" xfId="3" applyNumberFormat="1" applyFont="1" applyFill="1" applyBorder="1" applyAlignment="1" applyProtection="1">
      <alignment horizontal="center" vertical="center"/>
    </xf>
    <xf numFmtId="0" fontId="4" fillId="4" borderId="0" xfId="0" applyFont="1" applyFill="1" applyAlignment="1">
      <alignment horizontal="left" vertical="center" indent="2"/>
    </xf>
    <xf numFmtId="9" fontId="3" fillId="2" borderId="31" xfId="2" applyFont="1" applyFill="1" applyBorder="1" applyAlignment="1" applyProtection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vertical="center"/>
    </xf>
    <xf numFmtId="171" fontId="3" fillId="2" borderId="27" xfId="3" applyNumberFormat="1" applyFont="1" applyFill="1" applyBorder="1" applyAlignment="1" applyProtection="1">
      <alignment vertical="center"/>
    </xf>
    <xf numFmtId="171" fontId="3" fillId="2" borderId="22" xfId="3" applyNumberFormat="1" applyFont="1" applyFill="1" applyBorder="1" applyAlignment="1" applyProtection="1">
      <alignment vertical="center"/>
    </xf>
    <xf numFmtId="0" fontId="4" fillId="2" borderId="0" xfId="0" applyFont="1" applyFill="1" applyAlignment="1">
      <alignment horizontal="left" vertical="center" indent="2"/>
    </xf>
    <xf numFmtId="165" fontId="2" fillId="2" borderId="38" xfId="0" applyNumberFormat="1" applyFont="1" applyFill="1" applyBorder="1" applyAlignment="1">
      <alignment horizontal="center" vertical="center"/>
    </xf>
    <xf numFmtId="171" fontId="2" fillId="2" borderId="21" xfId="0" applyNumberFormat="1" applyFont="1" applyFill="1" applyBorder="1" applyAlignment="1">
      <alignment horizontal="left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34" xfId="0" applyNumberFormat="1" applyFont="1" applyFill="1" applyBorder="1" applyAlignment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66" fontId="3" fillId="2" borderId="12" xfId="0" applyNumberFormat="1" applyFont="1" applyFill="1" applyBorder="1" applyAlignment="1">
      <alignment horizontal="center" vertical="center"/>
    </xf>
    <xf numFmtId="43" fontId="3" fillId="2" borderId="0" xfId="2" applyNumberFormat="1" applyFont="1" applyFill="1" applyAlignment="1" applyProtection="1">
      <alignment horizontal="left" vertical="center"/>
    </xf>
    <xf numFmtId="0" fontId="16" fillId="2" borderId="0" xfId="0" applyFont="1" applyFill="1" applyAlignment="1">
      <alignment horizontal="left"/>
    </xf>
    <xf numFmtId="0" fontId="17" fillId="2" borderId="0" xfId="0" applyFont="1" applyFill="1"/>
    <xf numFmtId="0" fontId="18" fillId="2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/>
    <xf numFmtId="0" fontId="20" fillId="0" borderId="0" xfId="0" applyFont="1"/>
    <xf numFmtId="0" fontId="20" fillId="2" borderId="0" xfId="0" applyFont="1" applyFill="1"/>
    <xf numFmtId="43" fontId="21" fillId="9" borderId="21" xfId="1" quotePrefix="1" applyFont="1" applyFill="1" applyBorder="1" applyAlignment="1">
      <alignment horizontal="center" vertical="center" wrapText="1"/>
    </xf>
    <xf numFmtId="43" fontId="21" fillId="9" borderId="43" xfId="1" applyFont="1" applyFill="1" applyBorder="1" applyAlignment="1">
      <alignment horizontal="center" vertical="center" wrapText="1"/>
    </xf>
    <xf numFmtId="0" fontId="19" fillId="0" borderId="0" xfId="0" applyFont="1"/>
    <xf numFmtId="0" fontId="22" fillId="0" borderId="44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8" fillId="0" borderId="0" xfId="0" applyFont="1"/>
    <xf numFmtId="0" fontId="17" fillId="0" borderId="1" xfId="0" applyFont="1" applyBorder="1"/>
    <xf numFmtId="43" fontId="18" fillId="0" borderId="1" xfId="1" applyFont="1" applyBorder="1"/>
    <xf numFmtId="0" fontId="17" fillId="0" borderId="1" xfId="0" applyFont="1" applyBorder="1" applyAlignment="1">
      <alignment horizontal="left" indent="5"/>
    </xf>
    <xf numFmtId="0" fontId="17" fillId="0" borderId="1" xfId="0" applyFont="1" applyBorder="1" applyAlignment="1">
      <alignment horizontal="left" indent="1"/>
    </xf>
    <xf numFmtId="0" fontId="18" fillId="2" borderId="46" xfId="0" applyFont="1" applyFill="1" applyBorder="1"/>
    <xf numFmtId="43" fontId="18" fillId="2" borderId="1" xfId="1" applyFont="1" applyFill="1" applyBorder="1"/>
    <xf numFmtId="43" fontId="18" fillId="2" borderId="0" xfId="0" applyNumberFormat="1" applyFont="1" applyFill="1"/>
    <xf numFmtId="0" fontId="22" fillId="0" borderId="1" xfId="0" applyFont="1" applyBorder="1"/>
    <xf numFmtId="0" fontId="22" fillId="11" borderId="51" xfId="0" applyFont="1" applyFill="1" applyBorder="1"/>
    <xf numFmtId="0" fontId="17" fillId="11" borderId="52" xfId="0" applyFont="1" applyFill="1" applyBorder="1"/>
    <xf numFmtId="43" fontId="19" fillId="11" borderId="53" xfId="1" applyFont="1" applyFill="1" applyBorder="1"/>
    <xf numFmtId="0" fontId="22" fillId="0" borderId="1" xfId="0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178" fontId="18" fillId="0" borderId="1" xfId="2" applyNumberFormat="1" applyFont="1" applyBorder="1" applyAlignment="1">
      <alignment vertical="center"/>
    </xf>
    <xf numFmtId="178" fontId="18" fillId="0" borderId="1" xfId="2" applyNumberFormat="1" applyFont="1" applyBorder="1"/>
    <xf numFmtId="43" fontId="21" fillId="9" borderId="1" xfId="1" quotePrefix="1" applyFont="1" applyFill="1" applyBorder="1" applyAlignment="1">
      <alignment horizontal="center" vertical="center" wrapText="1"/>
    </xf>
    <xf numFmtId="43" fontId="18" fillId="0" borderId="1" xfId="1" applyFont="1" applyFill="1" applyBorder="1"/>
    <xf numFmtId="178" fontId="19" fillId="0" borderId="1" xfId="2" applyNumberFormat="1" applyFont="1" applyBorder="1" applyAlignment="1">
      <alignment vertical="center"/>
    </xf>
    <xf numFmtId="0" fontId="17" fillId="2" borderId="1" xfId="0" applyFont="1" applyFill="1" applyBorder="1"/>
    <xf numFmtId="0" fontId="17" fillId="2" borderId="1" xfId="0" applyFont="1" applyFill="1" applyBorder="1" applyAlignment="1">
      <alignment horizontal="left" indent="5"/>
    </xf>
    <xf numFmtId="178" fontId="18" fillId="2" borderId="1" xfId="2" applyNumberFormat="1" applyFont="1" applyFill="1" applyBorder="1" applyAlignment="1">
      <alignment vertical="center"/>
    </xf>
    <xf numFmtId="0" fontId="22" fillId="2" borderId="0" xfId="0" applyFont="1" applyFill="1"/>
    <xf numFmtId="43" fontId="19" fillId="2" borderId="0" xfId="0" applyNumberFormat="1" applyFont="1" applyFill="1"/>
    <xf numFmtId="43" fontId="19" fillId="0" borderId="1" xfId="1" applyFont="1" applyBorder="1" applyAlignment="1"/>
    <xf numFmtId="43" fontId="19" fillId="0" borderId="1" xfId="1" applyFont="1" applyBorder="1" applyAlignment="1">
      <alignment horizontal="left"/>
    </xf>
    <xf numFmtId="0" fontId="19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9" fontId="19" fillId="2" borderId="0" xfId="0" applyNumberFormat="1" applyFont="1" applyFill="1" applyAlignment="1">
      <alignment horizontal="center"/>
    </xf>
    <xf numFmtId="0" fontId="19" fillId="10" borderId="47" xfId="0" applyFont="1" applyFill="1" applyBorder="1" applyAlignment="1">
      <alignment horizontal="left" indent="1"/>
    </xf>
    <xf numFmtId="0" fontId="18" fillId="10" borderId="48" xfId="0" applyFont="1" applyFill="1" applyBorder="1" applyAlignment="1">
      <alignment horizontal="left" indent="1"/>
    </xf>
    <xf numFmtId="43" fontId="19" fillId="10" borderId="49" xfId="1" applyFont="1" applyFill="1" applyBorder="1" applyAlignment="1">
      <alignment horizontal="left" indent="1"/>
    </xf>
    <xf numFmtId="43" fontId="19" fillId="10" borderId="50" xfId="1" applyFont="1" applyFill="1" applyBorder="1" applyAlignment="1">
      <alignment horizontal="left" indent="1"/>
    </xf>
    <xf numFmtId="0" fontId="18" fillId="2" borderId="0" xfId="0" applyFont="1" applyFill="1" applyAlignment="1">
      <alignment horizontal="left" indent="1"/>
    </xf>
    <xf numFmtId="0" fontId="18" fillId="0" borderId="0" xfId="0" applyFont="1" applyAlignment="1">
      <alignment horizontal="left" indent="1"/>
    </xf>
    <xf numFmtId="43" fontId="18" fillId="2" borderId="30" xfId="1" applyFont="1" applyFill="1" applyBorder="1"/>
    <xf numFmtId="10" fontId="18" fillId="0" borderId="54" xfId="2" applyNumberFormat="1" applyFont="1" applyBorder="1"/>
    <xf numFmtId="9" fontId="18" fillId="2" borderId="0" xfId="0" applyNumberFormat="1" applyFont="1" applyFill="1" applyAlignment="1">
      <alignment horizontal="center"/>
    </xf>
    <xf numFmtId="0" fontId="22" fillId="0" borderId="1" xfId="0" applyFont="1" applyBorder="1" applyAlignment="1">
      <alignment horizontal="center"/>
    </xf>
    <xf numFmtId="43" fontId="19" fillId="0" borderId="1" xfId="1" applyFont="1" applyBorder="1"/>
    <xf numFmtId="0" fontId="19" fillId="0" borderId="1" xfId="0" applyFont="1" applyBorder="1"/>
    <xf numFmtId="0" fontId="19" fillId="0" borderId="10" xfId="0" applyFont="1" applyBorder="1"/>
    <xf numFmtId="0" fontId="19" fillId="0" borderId="45" xfId="0" applyFont="1" applyBorder="1"/>
    <xf numFmtId="43" fontId="19" fillId="0" borderId="10" xfId="1" applyFont="1" applyBorder="1"/>
    <xf numFmtId="43" fontId="19" fillId="0" borderId="45" xfId="1" applyFont="1" applyBorder="1"/>
    <xf numFmtId="43" fontId="0" fillId="2" borderId="0" xfId="1" applyFont="1" applyFill="1"/>
    <xf numFmtId="0" fontId="0" fillId="2" borderId="0" xfId="0" applyFill="1"/>
    <xf numFmtId="43" fontId="23" fillId="2" borderId="0" xfId="1" applyFont="1" applyFill="1"/>
    <xf numFmtId="9" fontId="0" fillId="2" borderId="0" xfId="2" applyFont="1" applyFill="1" applyAlignment="1">
      <alignment horizontal="center"/>
    </xf>
    <xf numFmtId="43" fontId="0" fillId="2" borderId="0" xfId="0" applyNumberFormat="1" applyFill="1"/>
    <xf numFmtId="9" fontId="0" fillId="2" borderId="0" xfId="1" applyNumberFormat="1" applyFont="1" applyFill="1"/>
    <xf numFmtId="9" fontId="0" fillId="2" borderId="0" xfId="0" applyNumberFormat="1" applyFill="1"/>
    <xf numFmtId="15" fontId="0" fillId="2" borderId="0" xfId="1" applyNumberFormat="1" applyFont="1" applyFill="1" applyAlignment="1">
      <alignment horizontal="center"/>
    </xf>
    <xf numFmtId="43" fontId="2" fillId="2" borderId="0" xfId="3" applyFont="1" applyFill="1" applyAlignment="1" applyProtection="1">
      <alignment horizontal="center" vertical="center"/>
    </xf>
    <xf numFmtId="171" fontId="3" fillId="2" borderId="17" xfId="3" applyNumberFormat="1" applyFont="1" applyFill="1" applyBorder="1" applyAlignment="1" applyProtection="1">
      <alignment horizontal="left" vertical="center"/>
    </xf>
    <xf numFmtId="171" fontId="3" fillId="2" borderId="18" xfId="3" applyNumberFormat="1" applyFont="1" applyFill="1" applyBorder="1" applyAlignment="1" applyProtection="1">
      <alignment horizontal="left" vertical="center"/>
    </xf>
    <xf numFmtId="0" fontId="24" fillId="2" borderId="0" xfId="0" applyFont="1" applyFill="1" applyProtection="1">
      <protection hidden="1"/>
    </xf>
    <xf numFmtId="43" fontId="24" fillId="2" borderId="0" xfId="3" applyFont="1" applyFill="1" applyProtection="1">
      <protection hidden="1"/>
    </xf>
    <xf numFmtId="0" fontId="24" fillId="2" borderId="0" xfId="0" applyFont="1" applyFill="1" applyAlignment="1" applyProtection="1">
      <alignment horizontal="center"/>
      <protection hidden="1"/>
    </xf>
    <xf numFmtId="0" fontId="25" fillId="2" borderId="0" xfId="0" applyFont="1" applyFill="1" applyAlignment="1" applyProtection="1">
      <alignment horizontal="center"/>
      <protection hidden="1"/>
    </xf>
    <xf numFmtId="0" fontId="25" fillId="2" borderId="0" xfId="0" applyFont="1" applyFill="1" applyProtection="1">
      <protection hidden="1"/>
    </xf>
    <xf numFmtId="0" fontId="28" fillId="2" borderId="0" xfId="0" applyFont="1" applyFill="1" applyAlignment="1" applyProtection="1">
      <alignment horizontal="left" indent="15"/>
      <protection hidden="1"/>
    </xf>
    <xf numFmtId="176" fontId="26" fillId="2" borderId="0" xfId="1" applyNumberFormat="1" applyFont="1" applyFill="1" applyAlignment="1" applyProtection="1">
      <alignment horizontal="center"/>
      <protection hidden="1"/>
    </xf>
    <xf numFmtId="14" fontId="28" fillId="2" borderId="0" xfId="0" applyNumberFormat="1" applyFont="1" applyFill="1" applyProtection="1">
      <protection hidden="1"/>
    </xf>
    <xf numFmtId="14" fontId="28" fillId="2" borderId="0" xfId="0" applyNumberFormat="1" applyFont="1" applyFill="1" applyAlignment="1" applyProtection="1">
      <alignment horizontal="center"/>
      <protection hidden="1"/>
    </xf>
    <xf numFmtId="0" fontId="29" fillId="2" borderId="0" xfId="0" applyFont="1" applyFill="1" applyProtection="1">
      <protection hidden="1"/>
    </xf>
    <xf numFmtId="177" fontId="29" fillId="2" borderId="0" xfId="8" applyNumberFormat="1" applyFont="1" applyFill="1"/>
    <xf numFmtId="177" fontId="24" fillId="2" borderId="0" xfId="8" applyNumberFormat="1" applyFont="1" applyFill="1"/>
    <xf numFmtId="164" fontId="27" fillId="3" borderId="1" xfId="4" applyFont="1" applyFill="1" applyBorder="1" applyAlignment="1" applyProtection="1">
      <alignment horizontal="center" vertical="center" wrapText="1"/>
      <protection hidden="1"/>
    </xf>
    <xf numFmtId="164" fontId="30" fillId="2" borderId="0" xfId="4" applyFont="1" applyFill="1" applyAlignment="1" applyProtection="1">
      <alignment horizontal="center" vertical="center"/>
      <protection hidden="1"/>
    </xf>
    <xf numFmtId="164" fontId="27" fillId="3" borderId="1" xfId="4" quotePrefix="1" applyFont="1" applyFill="1" applyBorder="1" applyAlignment="1" applyProtection="1">
      <alignment horizontal="center" wrapText="1"/>
      <protection hidden="1"/>
    </xf>
    <xf numFmtId="164" fontId="30" fillId="2" borderId="1" xfId="4" applyFont="1" applyFill="1" applyBorder="1" applyAlignment="1" applyProtection="1">
      <alignment horizontal="center" vertical="center"/>
      <protection hidden="1"/>
    </xf>
    <xf numFmtId="164" fontId="30" fillId="2" borderId="1" xfId="4" applyFont="1" applyFill="1" applyBorder="1" applyAlignment="1" applyProtection="1">
      <alignment horizontal="center" vertical="center" wrapText="1"/>
      <protection hidden="1"/>
    </xf>
    <xf numFmtId="164" fontId="30" fillId="2" borderId="1" xfId="4" applyFont="1" applyFill="1" applyBorder="1" applyAlignment="1" applyProtection="1">
      <alignment horizontal="center"/>
      <protection hidden="1"/>
    </xf>
    <xf numFmtId="164" fontId="28" fillId="3" borderId="1" xfId="4" quotePrefix="1" applyFont="1" applyFill="1" applyBorder="1" applyAlignment="1" applyProtection="1">
      <alignment horizontal="center" wrapText="1"/>
      <protection hidden="1"/>
    </xf>
    <xf numFmtId="164" fontId="30" fillId="2" borderId="0" xfId="4" applyFont="1" applyFill="1" applyAlignment="1" applyProtection="1">
      <alignment horizontal="center"/>
      <protection hidden="1"/>
    </xf>
    <xf numFmtId="43" fontId="24" fillId="2" borderId="1" xfId="3" applyFont="1" applyFill="1" applyBorder="1" applyProtection="1">
      <protection hidden="1"/>
    </xf>
    <xf numFmtId="43" fontId="25" fillId="2" borderId="1" xfId="3" applyFont="1" applyFill="1" applyBorder="1" applyAlignment="1" applyProtection="1">
      <alignment horizontal="center"/>
      <protection hidden="1"/>
    </xf>
    <xf numFmtId="43" fontId="24" fillId="2" borderId="1" xfId="3" applyFont="1" applyFill="1" applyBorder="1" applyAlignment="1" applyProtection="1">
      <alignment horizontal="center"/>
      <protection hidden="1"/>
    </xf>
    <xf numFmtId="43" fontId="25" fillId="2" borderId="1" xfId="0" applyNumberFormat="1" applyFont="1" applyFill="1" applyBorder="1" applyAlignment="1" applyProtection="1">
      <alignment horizontal="center" vertical="center"/>
      <protection hidden="1"/>
    </xf>
    <xf numFmtId="43" fontId="25" fillId="2" borderId="1" xfId="3" applyFont="1" applyFill="1" applyBorder="1" applyProtection="1">
      <protection hidden="1"/>
    </xf>
    <xf numFmtId="0" fontId="25" fillId="2" borderId="1" xfId="3" applyNumberFormat="1" applyFont="1" applyFill="1" applyBorder="1" applyAlignment="1" applyProtection="1">
      <alignment horizontal="center"/>
      <protection hidden="1"/>
    </xf>
    <xf numFmtId="43" fontId="25" fillId="2" borderId="0" xfId="3" applyFont="1" applyFill="1" applyProtection="1">
      <protection hidden="1"/>
    </xf>
    <xf numFmtId="43" fontId="24" fillId="2" borderId="0" xfId="3" applyFont="1" applyFill="1" applyBorder="1" applyProtection="1">
      <protection hidden="1"/>
    </xf>
    <xf numFmtId="43" fontId="25" fillId="2" borderId="0" xfId="3" applyFont="1" applyFill="1" applyBorder="1" applyAlignment="1" applyProtection="1">
      <alignment horizontal="center"/>
      <protection hidden="1"/>
    </xf>
    <xf numFmtId="43" fontId="25" fillId="2" borderId="0" xfId="1" applyFont="1" applyFill="1" applyBorder="1" applyAlignment="1" applyProtection="1">
      <alignment horizontal="center" vertical="center"/>
      <protection hidden="1"/>
    </xf>
    <xf numFmtId="43" fontId="25" fillId="2" borderId="0" xfId="3" applyFont="1" applyFill="1" applyBorder="1" applyProtection="1">
      <protection hidden="1"/>
    </xf>
    <xf numFmtId="0" fontId="25" fillId="2" borderId="0" xfId="3" applyNumberFormat="1" applyFont="1" applyFill="1" applyBorder="1" applyAlignment="1" applyProtection="1">
      <alignment horizontal="center"/>
      <protection hidden="1"/>
    </xf>
    <xf numFmtId="43" fontId="31" fillId="2" borderId="0" xfId="1" applyFont="1" applyFill="1" applyAlignment="1" applyProtection="1">
      <alignment horizontal="center"/>
      <protection hidden="1"/>
    </xf>
    <xf numFmtId="43" fontId="25" fillId="2" borderId="0" xfId="1" applyFont="1" applyFill="1" applyProtection="1">
      <protection hidden="1"/>
    </xf>
    <xf numFmtId="43" fontId="25" fillId="2" borderId="0" xfId="1" applyFont="1" applyFill="1" applyAlignment="1" applyProtection="1">
      <alignment horizontal="center"/>
      <protection hidden="1"/>
    </xf>
    <xf numFmtId="43" fontId="30" fillId="2" borderId="0" xfId="1" applyFont="1" applyFill="1" applyProtection="1">
      <protection hidden="1"/>
    </xf>
    <xf numFmtId="43" fontId="25" fillId="2" borderId="0" xfId="0" applyNumberFormat="1" applyFont="1" applyFill="1" applyProtection="1">
      <protection hidden="1"/>
    </xf>
    <xf numFmtId="43" fontId="30" fillId="2" borderId="0" xfId="1" applyFont="1" applyFill="1" applyAlignment="1" applyProtection="1">
      <alignment horizontal="left"/>
      <protection hidden="1"/>
    </xf>
    <xf numFmtId="9" fontId="25" fillId="2" borderId="0" xfId="2" applyFont="1" applyFill="1" applyAlignment="1" applyProtection="1">
      <alignment horizontal="center"/>
      <protection hidden="1"/>
    </xf>
    <xf numFmtId="164" fontId="28" fillId="2" borderId="1" xfId="4" applyFont="1" applyFill="1" applyBorder="1" applyAlignment="1" applyProtection="1">
      <alignment horizontal="center" vertical="center" wrapText="1"/>
      <protection hidden="1"/>
    </xf>
    <xf numFmtId="164" fontId="33" fillId="4" borderId="1" xfId="4" applyFont="1" applyFill="1" applyBorder="1" applyAlignment="1" applyProtection="1">
      <alignment horizontal="center" vertical="center" wrapText="1"/>
      <protection hidden="1"/>
    </xf>
    <xf numFmtId="165" fontId="33" fillId="4" borderId="1" xfId="4" applyNumberFormat="1" applyFont="1" applyFill="1" applyBorder="1" applyAlignment="1" applyProtection="1">
      <alignment horizontal="center" vertical="center"/>
      <protection hidden="1"/>
    </xf>
    <xf numFmtId="165" fontId="33" fillId="4" borderId="29" xfId="2" applyNumberFormat="1" applyFont="1" applyFill="1" applyBorder="1" applyAlignment="1" applyProtection="1">
      <alignment horizontal="center" vertical="center" wrapText="1"/>
      <protection hidden="1"/>
    </xf>
    <xf numFmtId="165" fontId="33" fillId="4" borderId="1" xfId="4" applyNumberFormat="1" applyFont="1" applyFill="1" applyBorder="1" applyAlignment="1" applyProtection="1">
      <alignment horizontal="center" vertical="center" wrapText="1"/>
      <protection hidden="1"/>
    </xf>
    <xf numFmtId="10" fontId="33" fillId="4" borderId="1" xfId="5" applyNumberFormat="1" applyFont="1" applyFill="1" applyBorder="1" applyAlignment="1" applyProtection="1">
      <alignment horizontal="center" vertical="center"/>
      <protection hidden="1"/>
    </xf>
    <xf numFmtId="164" fontId="33" fillId="4" borderId="29" xfId="4" applyFont="1" applyFill="1" applyBorder="1" applyAlignment="1" applyProtection="1">
      <alignment horizontal="center" vertical="center" wrapText="1"/>
      <protection hidden="1"/>
    </xf>
    <xf numFmtId="164" fontId="33" fillId="4" borderId="1" xfId="4" quotePrefix="1" applyFont="1" applyFill="1" applyBorder="1" applyAlignment="1" applyProtection="1">
      <alignment horizontal="center" wrapText="1"/>
      <protection hidden="1"/>
    </xf>
    <xf numFmtId="0" fontId="33" fillId="4" borderId="1" xfId="4" applyNumberFormat="1" applyFont="1" applyFill="1" applyBorder="1" applyAlignment="1" applyProtection="1">
      <alignment horizontal="center" vertical="center" wrapText="1"/>
      <protection hidden="1"/>
    </xf>
    <xf numFmtId="9" fontId="25" fillId="2" borderId="0" xfId="3" applyNumberFormat="1" applyFont="1" applyFill="1" applyProtection="1">
      <protection hidden="1"/>
    </xf>
    <xf numFmtId="2" fontId="25" fillId="2" borderId="1" xfId="3" applyNumberFormat="1" applyFont="1" applyFill="1" applyBorder="1" applyAlignment="1" applyProtection="1">
      <alignment horizontal="center"/>
      <protection hidden="1"/>
    </xf>
    <xf numFmtId="164" fontId="27" fillId="3" borderId="1" xfId="4" quotePrefix="1" applyFont="1" applyFill="1" applyBorder="1" applyAlignment="1" applyProtection="1">
      <alignment horizontal="center" vertical="center" wrapText="1"/>
      <protection hidden="1"/>
    </xf>
    <xf numFmtId="43" fontId="30" fillId="2" borderId="1" xfId="3" applyFont="1" applyFill="1" applyBorder="1" applyProtection="1">
      <protection hidden="1"/>
    </xf>
    <xf numFmtId="14" fontId="24" fillId="2" borderId="0" xfId="0" applyNumberFormat="1" applyFont="1" applyFill="1" applyProtection="1">
      <protection hidden="1"/>
    </xf>
    <xf numFmtId="165" fontId="28" fillId="2" borderId="1" xfId="4" applyNumberFormat="1" applyFont="1" applyFill="1" applyBorder="1" applyAlignment="1" applyProtection="1">
      <alignment horizontal="center" vertical="center"/>
      <protection hidden="1"/>
    </xf>
    <xf numFmtId="164" fontId="28" fillId="2" borderId="1" xfId="4" applyFont="1" applyFill="1" applyBorder="1" applyAlignment="1" applyProtection="1">
      <alignment horizontal="center" vertical="center"/>
      <protection hidden="1"/>
    </xf>
    <xf numFmtId="0" fontId="36" fillId="12" borderId="0" xfId="0" applyFont="1" applyFill="1" applyAlignment="1">
      <alignment vertical="center"/>
    </xf>
    <xf numFmtId="0" fontId="34" fillId="0" borderId="0" xfId="0" applyFont="1" applyAlignment="1">
      <alignment horizontal="center" vertical="center"/>
    </xf>
    <xf numFmtId="0" fontId="36" fillId="15" borderId="0" xfId="0" applyFont="1" applyFill="1" applyAlignment="1">
      <alignment horizontal="center"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166" fontId="36" fillId="15" borderId="0" xfId="0" applyNumberFormat="1" applyFont="1" applyFill="1" applyAlignment="1">
      <alignment horizontal="center" vertical="center"/>
    </xf>
    <xf numFmtId="0" fontId="37" fillId="16" borderId="0" xfId="0" applyFont="1" applyFill="1" applyAlignment="1" applyProtection="1">
      <alignment horizontal="center" vertical="center" wrapText="1"/>
      <protection locked="0"/>
    </xf>
    <xf numFmtId="0" fontId="36" fillId="15" borderId="0" xfId="0" applyFont="1" applyFill="1" applyAlignment="1">
      <alignment horizontal="center" vertical="center" wrapText="1"/>
    </xf>
    <xf numFmtId="0" fontId="36" fillId="14" borderId="12" xfId="0" applyFont="1" applyFill="1" applyBorder="1" applyAlignment="1" applyProtection="1">
      <alignment horizontal="center" vertical="center"/>
      <protection locked="0"/>
    </xf>
    <xf numFmtId="164" fontId="40" fillId="0" borderId="0" xfId="4" applyFont="1" applyFill="1" applyBorder="1" applyAlignment="1" applyProtection="1">
      <alignment vertical="center"/>
      <protection hidden="1"/>
    </xf>
    <xf numFmtId="0" fontId="34" fillId="0" borderId="10" xfId="0" applyFont="1" applyBorder="1" applyAlignment="1">
      <alignment horizontal="center" vertical="center"/>
    </xf>
    <xf numFmtId="0" fontId="36" fillId="14" borderId="10" xfId="0" applyFont="1" applyFill="1" applyBorder="1" applyAlignment="1" applyProtection="1">
      <alignment horizontal="left" vertical="center"/>
      <protection locked="0"/>
    </xf>
    <xf numFmtId="2" fontId="34" fillId="0" borderId="12" xfId="0" applyNumberFormat="1" applyFont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171" fontId="3" fillId="0" borderId="55" xfId="3" applyNumberFormat="1" applyFont="1" applyFill="1" applyBorder="1" applyAlignment="1" applyProtection="1">
      <alignment horizontal="center" vertical="center"/>
    </xf>
    <xf numFmtId="0" fontId="41" fillId="13" borderId="4" xfId="0" applyFont="1" applyFill="1" applyBorder="1"/>
    <xf numFmtId="0" fontId="41" fillId="13" borderId="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165" fontId="42" fillId="0" borderId="56" xfId="0" applyNumberFormat="1" applyFont="1" applyBorder="1" applyAlignment="1">
      <alignment horizontal="center"/>
    </xf>
    <xf numFmtId="171" fontId="43" fillId="0" borderId="56" xfId="0" applyNumberFormat="1" applyFont="1" applyBorder="1" applyAlignment="1">
      <alignment horizontal="center"/>
    </xf>
    <xf numFmtId="9" fontId="44" fillId="0" borderId="56" xfId="0" applyNumberFormat="1" applyFont="1" applyBorder="1" applyAlignment="1">
      <alignment horizontal="center"/>
    </xf>
    <xf numFmtId="2" fontId="9" fillId="0" borderId="56" xfId="0" applyNumberFormat="1" applyFont="1" applyBorder="1" applyAlignment="1">
      <alignment horizontal="center"/>
    </xf>
    <xf numFmtId="0" fontId="39" fillId="0" borderId="0" xfId="0" applyFont="1"/>
    <xf numFmtId="171" fontId="2" fillId="2" borderId="27" xfId="0" applyNumberFormat="1" applyFont="1" applyFill="1" applyBorder="1" applyAlignment="1">
      <alignment horizontal="left" vertical="center"/>
    </xf>
    <xf numFmtId="0" fontId="3" fillId="2" borderId="57" xfId="0" applyFont="1" applyFill="1" applyBorder="1" applyAlignment="1">
      <alignment horizontal="center" vertical="center"/>
    </xf>
    <xf numFmtId="9" fontId="3" fillId="2" borderId="57" xfId="2" applyFont="1" applyFill="1" applyBorder="1" applyAlignment="1" applyProtection="1">
      <alignment horizontal="center" vertical="center"/>
    </xf>
    <xf numFmtId="0" fontId="3" fillId="2" borderId="30" xfId="0" applyFont="1" applyFill="1" applyBorder="1" applyAlignment="1">
      <alignment vertical="center"/>
    </xf>
    <xf numFmtId="165" fontId="3" fillId="2" borderId="57" xfId="2" applyNumberFormat="1" applyFont="1" applyFill="1" applyBorder="1" applyAlignment="1">
      <alignment horizontal="center" vertical="center"/>
    </xf>
    <xf numFmtId="171" fontId="3" fillId="0" borderId="0" xfId="3" applyNumberFormat="1" applyFont="1" applyFill="1" applyBorder="1" applyAlignment="1" applyProtection="1">
      <alignment horizontal="center" vertical="center"/>
    </xf>
    <xf numFmtId="0" fontId="36" fillId="12" borderId="0" xfId="0" applyFont="1" applyFill="1" applyAlignment="1">
      <alignment horizontal="centerContinuous" vertical="center"/>
    </xf>
    <xf numFmtId="0" fontId="34" fillId="12" borderId="0" xfId="0" applyFont="1" applyFill="1" applyAlignment="1">
      <alignment horizontal="centerContinuous" vertical="center"/>
    </xf>
    <xf numFmtId="0" fontId="36" fillId="12" borderId="10" xfId="0" applyFont="1" applyFill="1" applyBorder="1" applyAlignment="1">
      <alignment horizontal="centerContinuous" vertical="center"/>
    </xf>
    <xf numFmtId="0" fontId="36" fillId="12" borderId="12" xfId="0" applyFont="1" applyFill="1" applyBorder="1" applyAlignment="1">
      <alignment horizontal="centerContinuous" vertical="center"/>
    </xf>
    <xf numFmtId="0" fontId="36" fillId="12" borderId="10" xfId="0" applyFont="1" applyFill="1" applyBorder="1" applyAlignment="1">
      <alignment horizontal="left" vertical="center"/>
    </xf>
    <xf numFmtId="0" fontId="36" fillId="12" borderId="11" xfId="0" applyFont="1" applyFill="1" applyBorder="1" applyAlignment="1">
      <alignment horizontal="center" vertical="center"/>
    </xf>
    <xf numFmtId="0" fontId="38" fillId="14" borderId="10" xfId="0" applyFont="1" applyFill="1" applyBorder="1" applyAlignment="1">
      <alignment horizontal="left" vertical="center"/>
    </xf>
    <xf numFmtId="0" fontId="36" fillId="14" borderId="12" xfId="0" applyFont="1" applyFill="1" applyBorder="1" applyAlignment="1">
      <alignment horizontal="center" vertical="center"/>
    </xf>
    <xf numFmtId="0" fontId="4" fillId="4" borderId="58" xfId="0" applyFont="1" applyFill="1" applyBorder="1" applyAlignment="1">
      <alignment horizontal="center" vertical="center"/>
    </xf>
    <xf numFmtId="0" fontId="37" fillId="16" borderId="60" xfId="0" applyFont="1" applyFill="1" applyBorder="1" applyAlignment="1" applyProtection="1">
      <alignment horizontal="center" vertical="center" wrapText="1"/>
      <protection locked="0"/>
    </xf>
    <xf numFmtId="0" fontId="35" fillId="16" borderId="60" xfId="0" applyFont="1" applyFill="1" applyBorder="1" applyAlignment="1" applyProtection="1">
      <alignment horizontal="center" vertical="center"/>
      <protection locked="0"/>
    </xf>
    <xf numFmtId="176" fontId="37" fillId="16" borderId="60" xfId="0" applyNumberFormat="1" applyFont="1" applyFill="1" applyBorder="1" applyAlignment="1" applyProtection="1">
      <alignment horizontal="center" vertical="center"/>
      <protection locked="0"/>
    </xf>
    <xf numFmtId="10" fontId="36" fillId="15" borderId="0" xfId="2" applyNumberFormat="1" applyFont="1" applyFill="1" applyAlignment="1">
      <alignment horizontal="center" vertical="center"/>
    </xf>
    <xf numFmtId="0" fontId="26" fillId="2" borderId="0" xfId="0" applyFont="1" applyFill="1" applyAlignment="1" applyProtection="1">
      <alignment horizontal="left"/>
      <protection hidden="1"/>
    </xf>
    <xf numFmtId="176" fontId="26" fillId="2" borderId="0" xfId="1" applyNumberFormat="1" applyFont="1" applyFill="1" applyAlignment="1" applyProtection="1">
      <alignment horizontal="left"/>
      <protection hidden="1"/>
    </xf>
    <xf numFmtId="0" fontId="45" fillId="2" borderId="0" xfId="0" applyFont="1" applyFill="1" applyProtection="1">
      <protection hidden="1"/>
    </xf>
    <xf numFmtId="43" fontId="24" fillId="2" borderId="0" xfId="1" applyFont="1" applyFill="1" applyProtection="1">
      <protection hidden="1"/>
    </xf>
    <xf numFmtId="43" fontId="24" fillId="2" borderId="0" xfId="1" applyFont="1" applyFill="1" applyBorder="1" applyProtection="1">
      <protection hidden="1"/>
    </xf>
    <xf numFmtId="43" fontId="24" fillId="2" borderId="0" xfId="0" applyNumberFormat="1" applyFont="1" applyFill="1" applyProtection="1">
      <protection hidden="1"/>
    </xf>
    <xf numFmtId="43" fontId="46" fillId="2" borderId="0" xfId="0" applyNumberFormat="1" applyFont="1" applyFill="1" applyProtection="1">
      <protection hidden="1"/>
    </xf>
    <xf numFmtId="43" fontId="46" fillId="2" borderId="0" xfId="1" applyFont="1" applyFill="1" applyAlignment="1" applyProtection="1">
      <alignment horizontal="center"/>
      <protection hidden="1"/>
    </xf>
    <xf numFmtId="0" fontId="46" fillId="2" borderId="0" xfId="0" applyFont="1" applyFill="1" applyProtection="1">
      <protection hidden="1"/>
    </xf>
    <xf numFmtId="0" fontId="47" fillId="2" borderId="0" xfId="0" applyFont="1" applyFill="1" applyProtection="1">
      <protection hidden="1"/>
    </xf>
    <xf numFmtId="43" fontId="48" fillId="2" borderId="0" xfId="3" applyFont="1" applyFill="1" applyBorder="1" applyProtection="1">
      <protection hidden="1"/>
    </xf>
    <xf numFmtId="43" fontId="46" fillId="2" borderId="0" xfId="3" applyFont="1" applyFill="1" applyBorder="1" applyAlignment="1" applyProtection="1">
      <alignment horizontal="center"/>
      <protection hidden="1"/>
    </xf>
    <xf numFmtId="43" fontId="46" fillId="2" borderId="0" xfId="3" applyFont="1" applyFill="1" applyBorder="1" applyProtection="1">
      <protection hidden="1"/>
    </xf>
    <xf numFmtId="0" fontId="46" fillId="2" borderId="0" xfId="3" applyNumberFormat="1" applyFont="1" applyFill="1" applyBorder="1" applyAlignment="1" applyProtection="1">
      <alignment horizontal="center"/>
      <protection hidden="1"/>
    </xf>
    <xf numFmtId="43" fontId="46" fillId="2" borderId="0" xfId="3" applyFont="1" applyFill="1" applyProtection="1">
      <protection hidden="1"/>
    </xf>
    <xf numFmtId="0" fontId="48" fillId="2" borderId="0" xfId="0" applyFont="1" applyFill="1" applyProtection="1">
      <protection hidden="1"/>
    </xf>
    <xf numFmtId="0" fontId="46" fillId="2" borderId="0" xfId="0" applyFont="1" applyFill="1" applyAlignment="1" applyProtection="1">
      <alignment horizontal="center"/>
      <protection hidden="1"/>
    </xf>
    <xf numFmtId="0" fontId="49" fillId="2" borderId="0" xfId="0" applyFont="1" applyFill="1" applyProtection="1">
      <protection hidden="1"/>
    </xf>
    <xf numFmtId="43" fontId="49" fillId="10" borderId="0" xfId="3" applyFont="1" applyFill="1" applyBorder="1" applyProtection="1">
      <protection hidden="1"/>
    </xf>
    <xf numFmtId="43" fontId="46" fillId="2" borderId="0" xfId="0" applyNumberFormat="1" applyFont="1" applyFill="1" applyAlignment="1" applyProtection="1">
      <alignment horizontal="center"/>
      <protection hidden="1"/>
    </xf>
    <xf numFmtId="43" fontId="24" fillId="2" borderId="1" xfId="1" applyFont="1" applyFill="1" applyBorder="1" applyProtection="1">
      <protection hidden="1"/>
    </xf>
    <xf numFmtId="0" fontId="50" fillId="2" borderId="0" xfId="0" applyFont="1" applyFill="1" applyAlignment="1" applyProtection="1">
      <alignment horizontal="center"/>
      <protection hidden="1"/>
    </xf>
    <xf numFmtId="0" fontId="50" fillId="2" borderId="0" xfId="0" applyFont="1" applyFill="1" applyProtection="1">
      <protection hidden="1"/>
    </xf>
    <xf numFmtId="43" fontId="48" fillId="2" borderId="0" xfId="3" applyFont="1" applyFill="1" applyBorder="1" applyAlignment="1" applyProtection="1">
      <alignment horizontal="center"/>
      <protection hidden="1"/>
    </xf>
    <xf numFmtId="43" fontId="48" fillId="2" borderId="0" xfId="1" applyFont="1" applyFill="1" applyAlignment="1" applyProtection="1">
      <alignment horizontal="center"/>
      <protection hidden="1"/>
    </xf>
    <xf numFmtId="43" fontId="49" fillId="2" borderId="0" xfId="1" applyFont="1" applyFill="1" applyAlignment="1" applyProtection="1">
      <alignment horizontal="center"/>
      <protection hidden="1"/>
    </xf>
    <xf numFmtId="43" fontId="48" fillId="2" borderId="0" xfId="0" applyNumberFormat="1" applyFont="1" applyFill="1" applyProtection="1">
      <protection hidden="1"/>
    </xf>
    <xf numFmtId="43" fontId="48" fillId="2" borderId="0" xfId="1" applyFont="1" applyFill="1" applyProtection="1">
      <protection hidden="1"/>
    </xf>
    <xf numFmtId="43" fontId="21" fillId="9" borderId="1" xfId="1" applyFont="1" applyFill="1" applyBorder="1" applyAlignment="1">
      <alignment horizontal="center" vertical="center" wrapText="1"/>
    </xf>
    <xf numFmtId="10" fontId="21" fillId="2" borderId="21" xfId="2" applyNumberFormat="1" applyFont="1" applyFill="1" applyBorder="1"/>
    <xf numFmtId="0" fontId="21" fillId="2" borderId="30" xfId="0" applyFont="1" applyFill="1" applyBorder="1" applyAlignment="1">
      <alignment horizontal="right"/>
    </xf>
    <xf numFmtId="0" fontId="51" fillId="0" borderId="1" xfId="0" applyFont="1" applyBorder="1"/>
    <xf numFmtId="0" fontId="51" fillId="0" borderId="1" xfId="0" applyFont="1" applyBorder="1" applyAlignment="1">
      <alignment horizontal="left" indent="5"/>
    </xf>
    <xf numFmtId="43" fontId="51" fillId="0" borderId="1" xfId="1" applyFont="1" applyFill="1" applyBorder="1"/>
    <xf numFmtId="178" fontId="51" fillId="0" borderId="1" xfId="2" applyNumberFormat="1" applyFont="1" applyBorder="1" applyAlignment="1">
      <alignment vertical="center"/>
    </xf>
    <xf numFmtId="0" fontId="51" fillId="2" borderId="0" xfId="0" applyFont="1" applyFill="1"/>
    <xf numFmtId="0" fontId="51" fillId="0" borderId="0" xfId="0" applyFont="1"/>
    <xf numFmtId="0" fontId="52" fillId="0" borderId="1" xfId="0" applyFont="1" applyBorder="1"/>
    <xf numFmtId="0" fontId="52" fillId="0" borderId="1" xfId="0" applyFont="1" applyBorder="1" applyAlignment="1">
      <alignment horizontal="left" indent="5"/>
    </xf>
    <xf numFmtId="43" fontId="52" fillId="0" borderId="1" xfId="1" applyFont="1" applyFill="1" applyBorder="1"/>
    <xf numFmtId="178" fontId="52" fillId="0" borderId="1" xfId="2" applyNumberFormat="1" applyFont="1" applyBorder="1" applyAlignment="1">
      <alignment vertical="center"/>
    </xf>
    <xf numFmtId="0" fontId="52" fillId="2" borderId="0" xfId="0" applyFont="1" applyFill="1"/>
    <xf numFmtId="0" fontId="52" fillId="0" borderId="0" xfId="0" applyFont="1"/>
    <xf numFmtId="43" fontId="22" fillId="0" borderId="1" xfId="1" applyFont="1" applyBorder="1"/>
    <xf numFmtId="0" fontId="19" fillId="0" borderId="1" xfId="0" applyFont="1" applyBorder="1" applyAlignment="1">
      <alignment horizontal="center"/>
    </xf>
    <xf numFmtId="43" fontId="19" fillId="10" borderId="1" xfId="1" applyFont="1" applyFill="1" applyBorder="1"/>
    <xf numFmtId="0" fontId="19" fillId="10" borderId="0" xfId="0" applyFont="1" applyFill="1"/>
    <xf numFmtId="0" fontId="22" fillId="2" borderId="1" xfId="0" applyFont="1" applyFill="1" applyBorder="1"/>
    <xf numFmtId="43" fontId="19" fillId="2" borderId="1" xfId="1" applyFont="1" applyFill="1" applyBorder="1"/>
    <xf numFmtId="43" fontId="19" fillId="2" borderId="45" xfId="1" applyFont="1" applyFill="1" applyBorder="1"/>
    <xf numFmtId="43" fontId="19" fillId="2" borderId="10" xfId="1" applyFont="1" applyFill="1" applyBorder="1"/>
    <xf numFmtId="43" fontId="22" fillId="2" borderId="1" xfId="1" applyFont="1" applyFill="1" applyBorder="1"/>
    <xf numFmtId="43" fontId="22" fillId="10" borderId="1" xfId="1" applyFont="1" applyFill="1" applyBorder="1"/>
    <xf numFmtId="0" fontId="22" fillId="2" borderId="44" xfId="0" applyFont="1" applyFill="1" applyBorder="1" applyAlignment="1">
      <alignment horizontal="left"/>
    </xf>
    <xf numFmtId="10" fontId="19" fillId="2" borderId="45" xfId="2" applyNumberFormat="1" applyFont="1" applyFill="1" applyBorder="1" applyAlignment="1">
      <alignment horizontal="center"/>
    </xf>
    <xf numFmtId="0" fontId="22" fillId="10" borderId="44" xfId="0" applyFont="1" applyFill="1" applyBorder="1" applyAlignment="1">
      <alignment horizontal="left"/>
    </xf>
    <xf numFmtId="10" fontId="19" fillId="10" borderId="45" xfId="2" applyNumberFormat="1" applyFont="1" applyFill="1" applyBorder="1" applyAlignment="1">
      <alignment horizontal="center"/>
    </xf>
    <xf numFmtId="43" fontId="18" fillId="0" borderId="45" xfId="1" applyFont="1" applyBorder="1"/>
    <xf numFmtId="0" fontId="22" fillId="0" borderId="44" xfId="0" applyFont="1" applyBorder="1" applyAlignment="1">
      <alignment horizontal="center"/>
    </xf>
    <xf numFmtId="0" fontId="17" fillId="0" borderId="44" xfId="0" applyFont="1" applyBorder="1" applyAlignment="1">
      <alignment horizontal="center"/>
    </xf>
    <xf numFmtId="178" fontId="18" fillId="0" borderId="45" xfId="2" applyNumberFormat="1" applyFont="1" applyBorder="1" applyAlignment="1">
      <alignment vertical="center"/>
    </xf>
    <xf numFmtId="0" fontId="17" fillId="2" borderId="44" xfId="0" applyFont="1" applyFill="1" applyBorder="1"/>
    <xf numFmtId="178" fontId="18" fillId="2" borderId="45" xfId="2" applyNumberFormat="1" applyFont="1" applyFill="1" applyBorder="1" applyAlignment="1">
      <alignment vertical="center"/>
    </xf>
    <xf numFmtId="178" fontId="19" fillId="0" borderId="45" xfId="2" applyNumberFormat="1" applyFont="1" applyBorder="1" applyAlignment="1">
      <alignment vertical="center"/>
    </xf>
    <xf numFmtId="0" fontId="17" fillId="0" borderId="44" xfId="0" applyFont="1" applyBorder="1"/>
    <xf numFmtId="0" fontId="51" fillId="0" borderId="44" xfId="0" applyFont="1" applyBorder="1"/>
    <xf numFmtId="178" fontId="51" fillId="0" borderId="45" xfId="2" applyNumberFormat="1" applyFont="1" applyBorder="1" applyAlignment="1">
      <alignment vertical="center"/>
    </xf>
    <xf numFmtId="0" fontId="52" fillId="0" borderId="44" xfId="0" applyFont="1" applyBorder="1"/>
    <xf numFmtId="178" fontId="52" fillId="0" borderId="45" xfId="2" applyNumberFormat="1" applyFont="1" applyBorder="1" applyAlignment="1">
      <alignment vertical="center"/>
    </xf>
    <xf numFmtId="0" fontId="22" fillId="0" borderId="44" xfId="0" applyFont="1" applyBorder="1"/>
    <xf numFmtId="178" fontId="18" fillId="0" borderId="45" xfId="2" applyNumberFormat="1" applyFont="1" applyBorder="1"/>
    <xf numFmtId="10" fontId="18" fillId="0" borderId="61" xfId="2" applyNumberFormat="1" applyFont="1" applyBorder="1"/>
    <xf numFmtId="43" fontId="18" fillId="2" borderId="43" xfId="1" applyFont="1" applyFill="1" applyBorder="1"/>
    <xf numFmtId="43" fontId="19" fillId="10" borderId="62" xfId="1" applyFont="1" applyFill="1" applyBorder="1" applyAlignment="1">
      <alignment horizontal="left" indent="1"/>
    </xf>
    <xf numFmtId="43" fontId="21" fillId="9" borderId="45" xfId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0" fontId="19" fillId="0" borderId="45" xfId="0" applyFont="1" applyBorder="1" applyAlignment="1">
      <alignment horizontal="center"/>
    </xf>
    <xf numFmtId="43" fontId="19" fillId="2" borderId="45" xfId="1" applyFont="1" applyFill="1" applyBorder="1" applyAlignment="1">
      <alignment horizontal="center"/>
    </xf>
    <xf numFmtId="43" fontId="19" fillId="0" borderId="45" xfId="1" applyFont="1" applyBorder="1" applyAlignment="1">
      <alignment horizontal="center"/>
    </xf>
    <xf numFmtId="43" fontId="18" fillId="0" borderId="45" xfId="1" applyFont="1" applyBorder="1" applyAlignment="1">
      <alignment horizontal="center"/>
    </xf>
    <xf numFmtId="178" fontId="18" fillId="0" borderId="45" xfId="2" applyNumberFormat="1" applyFont="1" applyBorder="1" applyAlignment="1">
      <alignment horizontal="center" vertical="center"/>
    </xf>
    <xf numFmtId="178" fontId="18" fillId="2" borderId="45" xfId="2" applyNumberFormat="1" applyFont="1" applyFill="1" applyBorder="1" applyAlignment="1">
      <alignment horizontal="center" vertical="center"/>
    </xf>
    <xf numFmtId="178" fontId="19" fillId="0" borderId="45" xfId="2" applyNumberFormat="1" applyFont="1" applyBorder="1" applyAlignment="1">
      <alignment horizontal="center" vertical="center"/>
    </xf>
    <xf numFmtId="178" fontId="51" fillId="0" borderId="45" xfId="2" applyNumberFormat="1" applyFont="1" applyBorder="1" applyAlignment="1">
      <alignment horizontal="center" vertical="center"/>
    </xf>
    <xf numFmtId="178" fontId="52" fillId="0" borderId="45" xfId="2" applyNumberFormat="1" applyFont="1" applyBorder="1" applyAlignment="1">
      <alignment horizontal="center" vertical="center"/>
    </xf>
    <xf numFmtId="178" fontId="18" fillId="0" borderId="45" xfId="2" applyNumberFormat="1" applyFont="1" applyBorder="1" applyAlignment="1">
      <alignment horizontal="center"/>
    </xf>
    <xf numFmtId="10" fontId="18" fillId="0" borderId="61" xfId="2" applyNumberFormat="1" applyFont="1" applyBorder="1" applyAlignment="1">
      <alignment horizontal="center"/>
    </xf>
    <xf numFmtId="43" fontId="18" fillId="2" borderId="43" xfId="1" applyFont="1" applyFill="1" applyBorder="1" applyAlignment="1">
      <alignment horizontal="center"/>
    </xf>
    <xf numFmtId="43" fontId="19" fillId="10" borderId="62" xfId="1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43" fontId="18" fillId="2" borderId="0" xfId="1" applyFont="1" applyFill="1"/>
    <xf numFmtId="43" fontId="18" fillId="2" borderId="0" xfId="1" applyFont="1" applyFill="1" applyAlignment="1">
      <alignment horizontal="center"/>
    </xf>
    <xf numFmtId="171" fontId="2" fillId="2" borderId="17" xfId="0" applyNumberFormat="1" applyFont="1" applyFill="1" applyBorder="1" applyAlignment="1">
      <alignment horizontal="center" vertical="center"/>
    </xf>
    <xf numFmtId="171" fontId="2" fillId="2" borderId="18" xfId="0" applyNumberFormat="1" applyFont="1" applyFill="1" applyBorder="1" applyAlignment="1">
      <alignment horizontal="center" vertical="center"/>
    </xf>
    <xf numFmtId="14" fontId="24" fillId="2" borderId="0" xfId="0" applyNumberFormat="1" applyFont="1" applyFill="1" applyAlignment="1" applyProtection="1">
      <alignment horizontal="center"/>
      <protection hidden="1"/>
    </xf>
    <xf numFmtId="9" fontId="3" fillId="2" borderId="5" xfId="2" applyFont="1" applyFill="1" applyBorder="1" applyAlignment="1">
      <alignment horizontal="center" vertical="center"/>
    </xf>
    <xf numFmtId="171" fontId="2" fillId="2" borderId="0" xfId="0" applyNumberFormat="1" applyFont="1" applyFill="1" applyAlignment="1">
      <alignment horizontal="center"/>
    </xf>
    <xf numFmtId="43" fontId="53" fillId="2" borderId="0" xfId="1" applyFont="1" applyFill="1" applyAlignment="1">
      <alignment horizontal="center"/>
    </xf>
    <xf numFmtId="0" fontId="53" fillId="2" borderId="0" xfId="0" applyFont="1" applyFill="1" applyAlignment="1">
      <alignment horizontal="center"/>
    </xf>
    <xf numFmtId="43" fontId="29" fillId="2" borderId="0" xfId="1" applyFont="1" applyFill="1" applyProtection="1">
      <protection hidden="1"/>
    </xf>
    <xf numFmtId="43" fontId="24" fillId="2" borderId="0" xfId="3" applyFont="1" applyFill="1" applyBorder="1" applyAlignment="1" applyProtection="1">
      <alignment horizontal="center"/>
      <protection hidden="1"/>
    </xf>
    <xf numFmtId="43" fontId="29" fillId="2" borderId="0" xfId="3" applyFont="1" applyFill="1" applyProtection="1">
      <protection hidden="1"/>
    </xf>
    <xf numFmtId="43" fontId="29" fillId="2" borderId="0" xfId="0" applyNumberFormat="1" applyFont="1" applyFill="1" applyProtection="1">
      <protection hidden="1"/>
    </xf>
    <xf numFmtId="0" fontId="24" fillId="2" borderId="1" xfId="3" applyNumberFormat="1" applyFont="1" applyFill="1" applyBorder="1" applyAlignment="1" applyProtection="1">
      <alignment horizontal="center"/>
      <protection hidden="1"/>
    </xf>
    <xf numFmtId="0" fontId="24" fillId="2" borderId="0" xfId="3" applyNumberFormat="1" applyFont="1" applyFill="1" applyBorder="1" applyAlignment="1" applyProtection="1">
      <alignment horizontal="center"/>
      <protection hidden="1"/>
    </xf>
    <xf numFmtId="9" fontId="24" fillId="2" borderId="0" xfId="2" applyFont="1" applyFill="1" applyAlignment="1" applyProtection="1">
      <alignment horizontal="center"/>
      <protection hidden="1"/>
    </xf>
    <xf numFmtId="164" fontId="27" fillId="3" borderId="1" xfId="4" applyFont="1" applyFill="1" applyBorder="1" applyAlignment="1" applyProtection="1">
      <alignment horizontal="center" vertical="center" wrapText="1"/>
      <protection hidden="1"/>
    </xf>
    <xf numFmtId="9" fontId="28" fillId="2" borderId="1" xfId="4" applyNumberFormat="1" applyFont="1" applyFill="1" applyBorder="1" applyAlignment="1" applyProtection="1">
      <alignment horizontal="center" vertical="center" wrapText="1"/>
      <protection hidden="1"/>
    </xf>
    <xf numFmtId="164" fontId="33" fillId="4" borderId="1" xfId="4" applyFont="1" applyFill="1" applyBorder="1" applyAlignment="1" applyProtection="1">
      <alignment horizontal="center" vertical="center" wrapText="1"/>
      <protection hidden="1"/>
    </xf>
    <xf numFmtId="165" fontId="33" fillId="4" borderId="1" xfId="4" applyNumberFormat="1" applyFont="1" applyFill="1" applyBorder="1" applyAlignment="1" applyProtection="1">
      <alignment horizontal="center" vertical="center" wrapText="1"/>
      <protection hidden="1"/>
    </xf>
    <xf numFmtId="0" fontId="33" fillId="4" borderId="29" xfId="4" applyNumberFormat="1" applyFont="1" applyFill="1" applyBorder="1" applyAlignment="1" applyProtection="1">
      <alignment horizontal="center" vertical="center" wrapText="1"/>
      <protection hidden="1"/>
    </xf>
    <xf numFmtId="0" fontId="33" fillId="4" borderId="30" xfId="4" applyNumberFormat="1" applyFont="1" applyFill="1" applyBorder="1" applyAlignment="1" applyProtection="1">
      <alignment horizontal="center" vertical="center" wrapText="1"/>
      <protection hidden="1"/>
    </xf>
    <xf numFmtId="164" fontId="33" fillId="4" borderId="10" xfId="4" applyFont="1" applyFill="1" applyBorder="1" applyAlignment="1" applyProtection="1">
      <alignment horizontal="center" vertical="center" wrapText="1"/>
      <protection hidden="1"/>
    </xf>
    <xf numFmtId="164" fontId="33" fillId="4" borderId="11" xfId="4" applyFont="1" applyFill="1" applyBorder="1" applyAlignment="1" applyProtection="1">
      <alignment horizontal="center" vertical="center" wrapText="1"/>
      <protection hidden="1"/>
    </xf>
    <xf numFmtId="164" fontId="33" fillId="4" borderId="12" xfId="4" applyFont="1" applyFill="1" applyBorder="1" applyAlignment="1" applyProtection="1">
      <alignment horizontal="center" vertical="center" wrapText="1"/>
      <protection hidden="1"/>
    </xf>
    <xf numFmtId="164" fontId="28" fillId="2" borderId="1" xfId="4" applyFont="1" applyFill="1" applyBorder="1" applyAlignment="1" applyProtection="1">
      <alignment horizontal="center" vertical="center" wrapText="1"/>
      <protection hidden="1"/>
    </xf>
    <xf numFmtId="164" fontId="28" fillId="2" borderId="29" xfId="4" applyFont="1" applyFill="1" applyBorder="1" applyAlignment="1" applyProtection="1">
      <alignment horizontal="center" vertical="center" wrapText="1"/>
      <protection hidden="1"/>
    </xf>
    <xf numFmtId="164" fontId="28" fillId="2" borderId="30" xfId="4" applyFont="1" applyFill="1" applyBorder="1" applyAlignment="1" applyProtection="1">
      <alignment horizontal="center" vertical="center" wrapText="1"/>
      <protection hidden="1"/>
    </xf>
    <xf numFmtId="9" fontId="33" fillId="4" borderId="1" xfId="4" applyNumberFormat="1" applyFont="1" applyFill="1" applyBorder="1" applyAlignment="1" applyProtection="1">
      <alignment horizontal="center" vertical="center" wrapText="1"/>
      <protection hidden="1"/>
    </xf>
    <xf numFmtId="43" fontId="28" fillId="2" borderId="29" xfId="1" applyFont="1" applyFill="1" applyBorder="1" applyAlignment="1" applyProtection="1">
      <alignment horizontal="center" vertical="center" wrapText="1"/>
      <protection hidden="1"/>
    </xf>
    <xf numFmtId="43" fontId="28" fillId="2" borderId="30" xfId="1" applyFont="1" applyFill="1" applyBorder="1" applyAlignment="1" applyProtection="1">
      <alignment horizontal="center" vertical="center" wrapText="1"/>
      <protection hidden="1"/>
    </xf>
    <xf numFmtId="164" fontId="33" fillId="4" borderId="29" xfId="4" applyFont="1" applyFill="1" applyBorder="1" applyAlignment="1" applyProtection="1">
      <alignment horizontal="center" vertical="center" wrapText="1"/>
      <protection hidden="1"/>
    </xf>
    <xf numFmtId="164" fontId="33" fillId="4" borderId="30" xfId="4" applyFont="1" applyFill="1" applyBorder="1" applyAlignment="1" applyProtection="1">
      <alignment horizontal="center" vertical="center" wrapText="1"/>
      <protection hidden="1"/>
    </xf>
    <xf numFmtId="164" fontId="33" fillId="4" borderId="1" xfId="4" applyFont="1" applyFill="1" applyBorder="1" applyAlignment="1" applyProtection="1">
      <alignment horizontal="center" vertical="center"/>
      <protection hidden="1"/>
    </xf>
    <xf numFmtId="164" fontId="28" fillId="2" borderId="1" xfId="4" applyFont="1" applyFill="1" applyBorder="1" applyAlignment="1" applyProtection="1">
      <alignment horizontal="center" vertical="center"/>
      <protection hidden="1"/>
    </xf>
    <xf numFmtId="0" fontId="28" fillId="2" borderId="29" xfId="4" applyNumberFormat="1" applyFont="1" applyFill="1" applyBorder="1" applyAlignment="1" applyProtection="1">
      <alignment horizontal="center" vertical="center" wrapText="1"/>
      <protection hidden="1"/>
    </xf>
    <xf numFmtId="0" fontId="28" fillId="2" borderId="30" xfId="4" applyNumberFormat="1" applyFont="1" applyFill="1" applyBorder="1" applyAlignment="1" applyProtection="1">
      <alignment horizontal="center" vertical="center" wrapText="1"/>
      <protection hidden="1"/>
    </xf>
    <xf numFmtId="0" fontId="33" fillId="4" borderId="1" xfId="4" applyNumberFormat="1" applyFont="1" applyFill="1" applyBorder="1" applyAlignment="1" applyProtection="1">
      <alignment horizontal="center" vertical="center" wrapText="1"/>
      <protection hidden="1"/>
    </xf>
    <xf numFmtId="0" fontId="27" fillId="2" borderId="0" xfId="0" applyFont="1" applyFill="1" applyAlignment="1" applyProtection="1">
      <alignment horizontal="left"/>
      <protection hidden="1"/>
    </xf>
    <xf numFmtId="0" fontId="37" fillId="0" borderId="10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2" fontId="37" fillId="0" borderId="10" xfId="1" applyNumberFormat="1" applyFont="1" applyBorder="1" applyAlignment="1" applyProtection="1">
      <alignment horizontal="center" vertical="center"/>
    </xf>
    <xf numFmtId="2" fontId="37" fillId="0" borderId="12" xfId="1" applyNumberFormat="1" applyFont="1" applyBorder="1" applyAlignment="1" applyProtection="1">
      <alignment horizontal="center" vertical="center"/>
    </xf>
    <xf numFmtId="9" fontId="37" fillId="0" borderId="10" xfId="2" applyFont="1" applyFill="1" applyBorder="1" applyAlignment="1" applyProtection="1">
      <alignment horizontal="center" vertical="center"/>
    </xf>
    <xf numFmtId="9" fontId="37" fillId="0" borderId="12" xfId="2" applyFont="1" applyFill="1" applyBorder="1" applyAlignment="1" applyProtection="1">
      <alignment horizontal="center" vertical="center"/>
    </xf>
    <xf numFmtId="0" fontId="36" fillId="12" borderId="10" xfId="0" applyFont="1" applyFill="1" applyBorder="1" applyAlignment="1">
      <alignment horizontal="center" vertical="center"/>
    </xf>
    <xf numFmtId="0" fontId="36" fillId="12" borderId="11" xfId="0" applyFont="1" applyFill="1" applyBorder="1" applyAlignment="1">
      <alignment horizontal="center" vertical="center"/>
    </xf>
    <xf numFmtId="0" fontId="36" fillId="12" borderId="12" xfId="0" applyFont="1" applyFill="1" applyBorder="1" applyAlignment="1">
      <alignment horizontal="center" vertical="center"/>
    </xf>
    <xf numFmtId="9" fontId="36" fillId="12" borderId="10" xfId="0" applyNumberFormat="1" applyFont="1" applyFill="1" applyBorder="1" applyAlignment="1">
      <alignment horizontal="center" vertical="center"/>
    </xf>
    <xf numFmtId="9" fontId="36" fillId="12" borderId="12" xfId="0" applyNumberFormat="1" applyFont="1" applyFill="1" applyBorder="1" applyAlignment="1">
      <alignment horizontal="center" vertical="center"/>
    </xf>
    <xf numFmtId="43" fontId="21" fillId="9" borderId="42" xfId="1" applyFont="1" applyFill="1" applyBorder="1" applyAlignment="1">
      <alignment horizontal="center" vertical="center" wrapText="1"/>
    </xf>
    <xf numFmtId="43" fontId="21" fillId="9" borderId="22" xfId="1" applyFont="1" applyFill="1" applyBorder="1" applyAlignment="1">
      <alignment horizontal="center" vertical="center" wrapText="1"/>
    </xf>
    <xf numFmtId="0" fontId="20" fillId="8" borderId="39" xfId="0" applyFont="1" applyFill="1" applyBorder="1" applyAlignment="1">
      <alignment horizontal="center"/>
    </xf>
    <xf numFmtId="0" fontId="20" fillId="8" borderId="40" xfId="0" applyFont="1" applyFill="1" applyBorder="1" applyAlignment="1">
      <alignment horizontal="center"/>
    </xf>
    <xf numFmtId="0" fontId="20" fillId="8" borderId="41" xfId="0" applyFont="1" applyFill="1" applyBorder="1" applyAlignment="1">
      <alignment horizontal="center"/>
    </xf>
    <xf numFmtId="0" fontId="20" fillId="8" borderId="1" xfId="0" applyFont="1" applyFill="1" applyBorder="1" applyAlignment="1">
      <alignment horizontal="center"/>
    </xf>
    <xf numFmtId="43" fontId="21" fillId="9" borderId="1" xfId="1" applyFont="1" applyFill="1" applyBorder="1" applyAlignment="1">
      <alignment horizontal="center" vertical="center" wrapText="1"/>
    </xf>
    <xf numFmtId="0" fontId="20" fillId="8" borderId="63" xfId="0" applyFont="1" applyFill="1" applyBorder="1" applyAlignment="1">
      <alignment horizontal="center"/>
    </xf>
    <xf numFmtId="0" fontId="20" fillId="8" borderId="64" xfId="0" applyFont="1" applyFill="1" applyBorder="1" applyAlignment="1">
      <alignment horizontal="center"/>
    </xf>
    <xf numFmtId="0" fontId="20" fillId="8" borderId="65" xfId="0" applyFont="1" applyFill="1" applyBorder="1" applyAlignment="1">
      <alignment horizontal="center"/>
    </xf>
    <xf numFmtId="43" fontId="21" fillId="9" borderId="44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171" fontId="3" fillId="2" borderId="16" xfId="0" applyNumberFormat="1" applyFont="1" applyFill="1" applyBorder="1" applyAlignment="1">
      <alignment horizontal="left" vertical="center"/>
    </xf>
    <xf numFmtId="171" fontId="3" fillId="2" borderId="17" xfId="0" applyNumberFormat="1" applyFont="1" applyFill="1" applyBorder="1" applyAlignment="1">
      <alignment horizontal="left" vertical="center"/>
    </xf>
    <xf numFmtId="171" fontId="3" fillId="2" borderId="18" xfId="0" applyNumberFormat="1" applyFont="1" applyFill="1" applyBorder="1" applyAlignment="1">
      <alignment horizontal="left" vertical="center"/>
    </xf>
    <xf numFmtId="0" fontId="2" fillId="2" borderId="0" xfId="0" quotePrefix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43" fontId="2" fillId="2" borderId="0" xfId="3" applyFont="1" applyFill="1" applyAlignment="1" applyProtection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71" fontId="9" fillId="2" borderId="0" xfId="0" applyNumberFormat="1" applyFont="1" applyFill="1" applyAlignment="1">
      <alignment horizontal="center" vertical="center" wrapText="1"/>
    </xf>
    <xf numFmtId="43" fontId="3" fillId="2" borderId="0" xfId="3" applyFont="1" applyFill="1" applyBorder="1" applyAlignment="1" applyProtection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171" fontId="2" fillId="2" borderId="1" xfId="0" applyNumberFormat="1" applyFont="1" applyFill="1" applyBorder="1" applyAlignment="1">
      <alignment horizontal="center" vertical="center"/>
    </xf>
    <xf numFmtId="43" fontId="3" fillId="2" borderId="27" xfId="3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1" fontId="3" fillId="2" borderId="1" xfId="3" applyNumberFormat="1" applyFont="1" applyFill="1" applyBorder="1" applyAlignment="1" applyProtection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66" fontId="3" fillId="2" borderId="1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1" fontId="3" fillId="2" borderId="0" xfId="3" applyNumberFormat="1" applyFont="1" applyFill="1" applyBorder="1" applyAlignment="1" applyProtection="1">
      <alignment horizontal="center" vertical="center"/>
    </xf>
    <xf numFmtId="0" fontId="4" fillId="4" borderId="6" xfId="0" applyFont="1" applyFill="1" applyBorder="1" applyAlignment="1">
      <alignment horizontal="left" vertical="center"/>
    </xf>
    <xf numFmtId="171" fontId="2" fillId="2" borderId="17" xfId="0" applyNumberFormat="1" applyFont="1" applyFill="1" applyBorder="1" applyAlignment="1">
      <alignment horizontal="center" vertical="center"/>
    </xf>
    <xf numFmtId="171" fontId="2" fillId="2" borderId="18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1" fontId="2" fillId="2" borderId="10" xfId="0" applyNumberFormat="1" applyFont="1" applyFill="1" applyBorder="1" applyAlignment="1">
      <alignment horizontal="center" vertical="center"/>
    </xf>
    <xf numFmtId="171" fontId="2" fillId="2" borderId="12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1" fontId="2" fillId="2" borderId="13" xfId="0" applyNumberFormat="1" applyFont="1" applyFill="1" applyBorder="1" applyAlignment="1">
      <alignment horizontal="left" vertical="center"/>
    </xf>
    <xf numFmtId="171" fontId="2" fillId="2" borderId="14" xfId="0" applyNumberFormat="1" applyFont="1" applyFill="1" applyBorder="1" applyAlignment="1">
      <alignment horizontal="left" vertical="center"/>
    </xf>
    <xf numFmtId="171" fontId="2" fillId="2" borderId="15" xfId="0" applyNumberFormat="1" applyFont="1" applyFill="1" applyBorder="1" applyAlignment="1">
      <alignment horizontal="left" vertical="center"/>
    </xf>
    <xf numFmtId="170" fontId="9" fillId="2" borderId="10" xfId="0" applyNumberFormat="1" applyFont="1" applyFill="1" applyBorder="1" applyAlignment="1">
      <alignment horizontal="center"/>
    </xf>
    <xf numFmtId="170" fontId="9" fillId="2" borderId="12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71" fontId="2" fillId="2" borderId="11" xfId="3" applyNumberFormat="1" applyFont="1" applyFill="1" applyBorder="1" applyAlignment="1" applyProtection="1">
      <alignment horizontal="left" vertical="center"/>
    </xf>
    <xf numFmtId="171" fontId="2" fillId="2" borderId="12" xfId="3" applyNumberFormat="1" applyFont="1" applyFill="1" applyBorder="1" applyAlignment="1" applyProtection="1">
      <alignment horizontal="left" vertical="center"/>
    </xf>
    <xf numFmtId="171" fontId="2" fillId="2" borderId="32" xfId="3" applyNumberFormat="1" applyFont="1" applyFill="1" applyBorder="1" applyAlignment="1" applyProtection="1">
      <alignment horizontal="left" vertical="center"/>
    </xf>
    <xf numFmtId="171" fontId="2" fillId="2" borderId="33" xfId="3" applyNumberFormat="1" applyFont="1" applyFill="1" applyBorder="1" applyAlignment="1" applyProtection="1">
      <alignment horizontal="left" vertical="center"/>
    </xf>
    <xf numFmtId="171" fontId="3" fillId="2" borderId="35" xfId="3" applyNumberFormat="1" applyFont="1" applyFill="1" applyBorder="1" applyAlignment="1" applyProtection="1">
      <alignment horizontal="left" vertical="center"/>
    </xf>
    <xf numFmtId="171" fontId="3" fillId="2" borderId="36" xfId="3" applyNumberFormat="1" applyFont="1" applyFill="1" applyBorder="1" applyAlignment="1" applyProtection="1">
      <alignment horizontal="left" vertical="center"/>
    </xf>
    <xf numFmtId="171" fontId="3" fillId="2" borderId="37" xfId="3" applyNumberFormat="1" applyFont="1" applyFill="1" applyBorder="1" applyAlignment="1" applyProtection="1">
      <alignment horizontal="left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left" vertical="center"/>
    </xf>
    <xf numFmtId="2" fontId="2" fillId="2" borderId="16" xfId="3" applyNumberFormat="1" applyFont="1" applyFill="1" applyBorder="1" applyAlignment="1" applyProtection="1">
      <alignment horizontal="center" vertical="center"/>
    </xf>
    <xf numFmtId="2" fontId="2" fillId="2" borderId="17" xfId="3" applyNumberFormat="1" applyFont="1" applyFill="1" applyBorder="1" applyAlignment="1" applyProtection="1">
      <alignment horizontal="center" vertical="center"/>
    </xf>
    <xf numFmtId="171" fontId="3" fillId="2" borderId="17" xfId="3" applyNumberFormat="1" applyFont="1" applyFill="1" applyBorder="1" applyAlignment="1" applyProtection="1">
      <alignment horizontal="left" vertical="center"/>
    </xf>
    <xf numFmtId="171" fontId="3" fillId="2" borderId="18" xfId="3" applyNumberFormat="1" applyFont="1" applyFill="1" applyBorder="1" applyAlignment="1" applyProtection="1">
      <alignment horizontal="left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43" fontId="2" fillId="2" borderId="16" xfId="0" applyNumberFormat="1" applyFont="1" applyFill="1" applyBorder="1" applyAlignment="1">
      <alignment horizontal="center" vertical="center"/>
    </xf>
    <xf numFmtId="43" fontId="2" fillId="2" borderId="17" xfId="0" applyNumberFormat="1" applyFont="1" applyFill="1" applyBorder="1" applyAlignment="1">
      <alignment horizontal="center" vertical="center"/>
    </xf>
    <xf numFmtId="168" fontId="2" fillId="2" borderId="2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71" fontId="2" fillId="2" borderId="16" xfId="0" applyNumberFormat="1" applyFont="1" applyFill="1" applyBorder="1" applyAlignment="1">
      <alignment horizontal="left" vertical="center"/>
    </xf>
    <xf numFmtId="171" fontId="2" fillId="2" borderId="17" xfId="0" applyNumberFormat="1" applyFont="1" applyFill="1" applyBorder="1" applyAlignment="1">
      <alignment horizontal="left" vertical="center"/>
    </xf>
    <xf numFmtId="171" fontId="2" fillId="2" borderId="18" xfId="0" applyNumberFormat="1" applyFont="1" applyFill="1" applyBorder="1" applyAlignment="1">
      <alignment horizontal="left" vertical="center"/>
    </xf>
    <xf numFmtId="171" fontId="2" fillId="2" borderId="17" xfId="3" applyNumberFormat="1" applyFont="1" applyFill="1" applyBorder="1" applyAlignment="1" applyProtection="1">
      <alignment horizontal="left" vertical="center"/>
    </xf>
    <xf numFmtId="171" fontId="2" fillId="2" borderId="18" xfId="3" applyNumberFormat="1" applyFont="1" applyFill="1" applyBorder="1" applyAlignment="1" applyProtection="1">
      <alignment horizontal="left" vertical="center"/>
    </xf>
    <xf numFmtId="43" fontId="2" fillId="2" borderId="10" xfId="0" applyNumberFormat="1" applyFont="1" applyFill="1" applyBorder="1" applyAlignment="1">
      <alignment horizontal="center"/>
    </xf>
    <xf numFmtId="171" fontId="3" fillId="7" borderId="1" xfId="3" applyNumberFormat="1" applyFont="1" applyFill="1" applyBorder="1" applyAlignment="1" applyProtection="1">
      <alignment horizontal="center" vertical="center"/>
    </xf>
    <xf numFmtId="43" fontId="2" fillId="2" borderId="0" xfId="1" applyFont="1" applyFill="1" applyBorder="1" applyAlignment="1">
      <alignment horizontal="center"/>
    </xf>
    <xf numFmtId="43" fontId="2" fillId="2" borderId="18" xfId="0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170" fontId="2" fillId="2" borderId="1" xfId="0" applyNumberFormat="1" applyFont="1" applyFill="1" applyBorder="1" applyAlignment="1">
      <alignment horizontal="center" vertical="center"/>
    </xf>
    <xf numFmtId="171" fontId="43" fillId="0" borderId="56" xfId="0" applyNumberFormat="1" applyFont="1" applyBorder="1" applyAlignment="1">
      <alignment horizontal="center"/>
    </xf>
    <xf numFmtId="171" fontId="9" fillId="0" borderId="56" xfId="0" applyNumberFormat="1" applyFont="1" applyBorder="1" applyAlignment="1">
      <alignment horizontal="center"/>
    </xf>
    <xf numFmtId="0" fontId="4" fillId="13" borderId="4" xfId="0" applyFont="1" applyFill="1" applyBorder="1" applyAlignment="1">
      <alignment horizontal="left" vertical="center"/>
    </xf>
    <xf numFmtId="168" fontId="2" fillId="2" borderId="58" xfId="0" applyNumberFormat="1" applyFont="1" applyFill="1" applyBorder="1" applyAlignment="1">
      <alignment horizontal="center" vertical="center"/>
    </xf>
    <xf numFmtId="168" fontId="2" fillId="2" borderId="59" xfId="0" applyNumberFormat="1" applyFont="1" applyFill="1" applyBorder="1" applyAlignment="1">
      <alignment horizontal="center" vertical="center"/>
    </xf>
    <xf numFmtId="0" fontId="5" fillId="13" borderId="4" xfId="0" applyFont="1" applyFill="1" applyBorder="1" applyAlignment="1">
      <alignment horizontal="left" vertical="center"/>
    </xf>
  </cellXfs>
  <cellStyles count="10">
    <cellStyle name="Comma" xfId="1" builtinId="3"/>
    <cellStyle name="Comma 2" xfId="3" xr:uid="{9CCB253D-BC25-4AD5-A328-832A95322B26}"/>
    <cellStyle name="Comma 6 2" xfId="4" xr:uid="{85270867-8464-4C15-ACD0-523E2ACC161D}"/>
    <cellStyle name="Comma 7" xfId="7" xr:uid="{4EBB108A-98CA-4F31-89F7-DDAB937AE658}"/>
    <cellStyle name="Normal" xfId="0" builtinId="0"/>
    <cellStyle name="Normal 2" xfId="6" xr:uid="{79B2B3EA-04E1-439F-8560-CBAD2AE4837E}"/>
    <cellStyle name="Normal 3" xfId="8" xr:uid="{5955BB60-FD4C-4925-9293-BC1E68D34FB6}"/>
    <cellStyle name="Percent" xfId="2" builtinId="5"/>
    <cellStyle name="Percent 2" xfId="9" xr:uid="{A7E877F8-3D7A-4C1B-ACF8-C1F9F7E9E770}"/>
    <cellStyle name="Percent 3" xfId="5" xr:uid="{7EE7CEED-A983-40B7-A441-039837079029}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7</xdr:col>
      <xdr:colOff>279468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E7E291-DC40-4AF2-AFCE-A8343F2D6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30680" cy="13944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36</xdr:col>
      <xdr:colOff>431444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924A1F-9714-4E34-8ADE-44EAE7756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0"/>
          <a:ext cx="1639904" cy="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CDI/Downloads/The%20Elements%20Price%20List%20v1.%20May%2027,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iela%20Oaman/Documents/Documents/C&amp;C%20Documents/JACINTA%20ENCLAVES/PRICELIST/Updated%20Pricelist/Automated%20Pricelist/JACINTA%20TOWER%201%20Updated%20_May%2025,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act Summary"/>
      <sheetName val="Package Computation (TSP)"/>
      <sheetName val="125.26 on 84.64sqm (San Diego)"/>
      <sheetName val="167.62 on 80sqm (San Esteban)"/>
      <sheetName val="Price List"/>
      <sheetName val="Pricelist_SSO"/>
      <sheetName val="SPC San Diego A"/>
      <sheetName val="SPC San Diego B"/>
      <sheetName val="SPC San Diego C"/>
      <sheetName val="SPC San Esteban A"/>
      <sheetName val="SPC San Esteban B"/>
      <sheetName val="SPC San Esteban 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5">
          <cell r="H25" t="str">
            <v>Floor Area</v>
          </cell>
          <cell r="I25" t="str">
            <v>Actual Lot Area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PRICELIST"/>
      <sheetName val="LINKED PRICELIST"/>
      <sheetName val="FORM"/>
      <sheetName val="STEP UP"/>
      <sheetName val="STEP UP_LOI"/>
      <sheetName val="RA_STEPUP"/>
      <sheetName val="SPECIAL PACKAGE"/>
      <sheetName val="RA_Special"/>
      <sheetName val="SPECIAL_LOI"/>
      <sheetName val="STANDARD COMP."/>
      <sheetName val="RA_Standard"/>
      <sheetName val="STANDARD_LOI"/>
      <sheetName val="SPOT EQUITY_7DAYS"/>
      <sheetName val="RA_SE7D"/>
      <sheetName val="SE7_LOI"/>
      <sheetName val="SPOT EQUITY_30DAYS"/>
      <sheetName val="RA_SE30D"/>
      <sheetName val="SE30_LOI"/>
      <sheetName val="SPOT CASH_30 DAYS"/>
      <sheetName val="RA_SC30D"/>
      <sheetName val="SC30_LOI"/>
      <sheetName val="SPOT CASH_60 DAYS"/>
      <sheetName val="RA_SC60D"/>
      <sheetName val="SC60_LOI"/>
      <sheetName val="DEFERRED"/>
      <sheetName val="RA_DEFERRED"/>
      <sheetName val="DEFERRED_LOI"/>
      <sheetName val="Docs Req"/>
    </sheetNames>
    <sheetDataSet>
      <sheetData sheetId="0" refreshError="1"/>
      <sheetData sheetId="1" refreshError="1"/>
      <sheetData sheetId="2" refreshError="1">
        <row r="19">
          <cell r="V19"/>
        </row>
        <row r="25">
          <cell r="V25"/>
        </row>
        <row r="26">
          <cell r="V26"/>
        </row>
        <row r="27">
          <cell r="V27"/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40BB0-44C1-4673-9D46-6AD62CF57F7B}">
  <sheetPr codeName="Sheet1" filterMode="1">
    <pageSetUpPr fitToPage="1"/>
  </sheetPr>
  <dimension ref="A1:AX40"/>
  <sheetViews>
    <sheetView tabSelected="1" topLeftCell="C6" zoomScale="90" zoomScaleNormal="90" workbookViewId="0"/>
  </sheetViews>
  <sheetFormatPr defaultColWidth="8.85546875" defaultRowHeight="12.75"/>
  <cols>
    <col min="1" max="1" width="4.140625" style="228" hidden="1" customWidth="1"/>
    <col min="2" max="2" width="8.85546875" style="224" hidden="1" customWidth="1"/>
    <col min="3" max="3" width="8.85546875" style="228" customWidth="1"/>
    <col min="4" max="4" width="14.42578125" style="345" hidden="1" customWidth="1"/>
    <col min="5" max="5" width="10.7109375" style="227" customWidth="1"/>
    <col min="6" max="6" width="16.140625" style="224" hidden="1" customWidth="1"/>
    <col min="7" max="7" width="13.85546875" style="227" hidden="1" customWidth="1"/>
    <col min="8" max="8" width="15.5703125" style="227" customWidth="1"/>
    <col min="9" max="9" width="9.5703125" style="228" customWidth="1"/>
    <col min="10" max="10" width="9.7109375" style="228" customWidth="1"/>
    <col min="11" max="11" width="8.5703125" style="224" customWidth="1"/>
    <col min="12" max="12" width="8.42578125" style="224" hidden="1" customWidth="1"/>
    <col min="13" max="13" width="14.7109375" style="224" hidden="1" customWidth="1"/>
    <col min="14" max="14" width="13.5703125" style="224" hidden="1" customWidth="1"/>
    <col min="15" max="15" width="16.42578125" style="326" hidden="1" customWidth="1"/>
    <col min="16" max="16" width="18.7109375" style="224" hidden="1" customWidth="1"/>
    <col min="17" max="17" width="12.7109375" style="224" hidden="1" customWidth="1"/>
    <col min="18" max="18" width="13.85546875" style="224" hidden="1" customWidth="1"/>
    <col min="19" max="19" width="16.42578125" style="224" hidden="1" customWidth="1"/>
    <col min="20" max="20" width="16" style="224" hidden="1" customWidth="1"/>
    <col min="21" max="21" width="16.42578125" style="224" hidden="1" customWidth="1"/>
    <col min="22" max="22" width="15.5703125" style="224" hidden="1" customWidth="1"/>
    <col min="23" max="23" width="16.42578125" style="224" hidden="1" customWidth="1"/>
    <col min="24" max="24" width="16.28515625" style="224" hidden="1" customWidth="1"/>
    <col min="25" max="25" width="16.42578125" style="224" hidden="1" customWidth="1"/>
    <col min="26" max="26" width="16" style="224" hidden="1" customWidth="1"/>
    <col min="27" max="27" width="16.42578125" style="224" hidden="1" customWidth="1"/>
    <col min="28" max="28" width="16.85546875" style="224" hidden="1" customWidth="1"/>
    <col min="29" max="29" width="15.85546875" style="228" customWidth="1"/>
    <col min="30" max="30" width="16.7109375" style="228" customWidth="1"/>
    <col min="31" max="31" width="12.28515625" style="228" hidden="1" customWidth="1"/>
    <col min="32" max="32" width="15.85546875" style="228" customWidth="1"/>
    <col min="33" max="33" width="15.7109375" style="228" customWidth="1"/>
    <col min="34" max="36" width="13.85546875" style="228" customWidth="1"/>
    <col min="37" max="37" width="12.42578125" style="227" customWidth="1"/>
    <col min="38" max="38" width="14.140625" style="228" customWidth="1"/>
    <col min="39" max="39" width="15.5703125" style="228" customWidth="1"/>
    <col min="40" max="40" width="14.28515625" style="228" customWidth="1"/>
    <col min="41" max="42" width="13.28515625" style="228" customWidth="1"/>
    <col min="43" max="43" width="13.85546875" style="228" hidden="1" customWidth="1"/>
    <col min="44" max="44" width="15.5703125" style="228" hidden="1" customWidth="1"/>
    <col min="45" max="45" width="18" style="228" hidden="1" customWidth="1"/>
    <col min="46" max="46" width="11" style="228" hidden="1" customWidth="1"/>
    <col min="47" max="47" width="13.7109375" style="224" hidden="1" customWidth="1"/>
    <col min="48" max="48" width="13.85546875" style="228" hidden="1" customWidth="1"/>
    <col min="49" max="49" width="14.28515625" style="228" hidden="1" customWidth="1"/>
    <col min="50" max="50" width="8.85546875" style="228" hidden="1" customWidth="1"/>
    <col min="51" max="52" width="0" style="228" hidden="1" customWidth="1"/>
    <col min="53" max="16384" width="8.85546875" style="228"/>
  </cols>
  <sheetData>
    <row r="1" spans="2:48" s="325" customFormat="1">
      <c r="B1" s="233">
        <f>A1+1</f>
        <v>1</v>
      </c>
      <c r="C1" s="233">
        <v>1</v>
      </c>
      <c r="D1" s="224">
        <f t="shared" ref="D1:AV1" si="0">C1+1</f>
        <v>2</v>
      </c>
      <c r="E1" s="233">
        <f t="shared" si="0"/>
        <v>3</v>
      </c>
      <c r="F1" s="233">
        <f t="shared" si="0"/>
        <v>4</v>
      </c>
      <c r="G1" s="233">
        <f t="shared" si="0"/>
        <v>5</v>
      </c>
      <c r="H1" s="233">
        <f t="shared" si="0"/>
        <v>6</v>
      </c>
      <c r="I1" s="233">
        <f t="shared" si="0"/>
        <v>7</v>
      </c>
      <c r="J1" s="233">
        <f t="shared" si="0"/>
        <v>8</v>
      </c>
      <c r="K1" s="233">
        <f t="shared" si="0"/>
        <v>9</v>
      </c>
      <c r="L1" s="233">
        <f t="shared" si="0"/>
        <v>10</v>
      </c>
      <c r="M1" s="233">
        <f t="shared" si="0"/>
        <v>11</v>
      </c>
      <c r="N1" s="233">
        <f t="shared" si="0"/>
        <v>12</v>
      </c>
      <c r="O1" s="422">
        <f>N1+1</f>
        <v>13</v>
      </c>
      <c r="P1" s="233">
        <f t="shared" si="0"/>
        <v>14</v>
      </c>
      <c r="Q1" s="233">
        <f t="shared" si="0"/>
        <v>15</v>
      </c>
      <c r="R1" s="233">
        <f t="shared" si="0"/>
        <v>16</v>
      </c>
      <c r="S1" s="233">
        <f t="shared" si="0"/>
        <v>17</v>
      </c>
      <c r="T1" s="233">
        <f t="shared" si="0"/>
        <v>18</v>
      </c>
      <c r="U1" s="233">
        <f t="shared" si="0"/>
        <v>19</v>
      </c>
      <c r="V1" s="233">
        <f t="shared" si="0"/>
        <v>20</v>
      </c>
      <c r="W1" s="233">
        <f t="shared" si="0"/>
        <v>21</v>
      </c>
      <c r="X1" s="233">
        <f t="shared" si="0"/>
        <v>22</v>
      </c>
      <c r="Y1" s="233">
        <f t="shared" si="0"/>
        <v>23</v>
      </c>
      <c r="Z1" s="233">
        <f t="shared" si="0"/>
        <v>24</v>
      </c>
      <c r="AA1" s="233">
        <f t="shared" si="0"/>
        <v>25</v>
      </c>
      <c r="AB1" s="233">
        <f t="shared" si="0"/>
        <v>26</v>
      </c>
      <c r="AC1" s="233">
        <f>AB1+1</f>
        <v>27</v>
      </c>
      <c r="AD1" s="233">
        <f t="shared" si="0"/>
        <v>28</v>
      </c>
      <c r="AE1" s="233">
        <f t="shared" si="0"/>
        <v>29</v>
      </c>
      <c r="AF1" s="233">
        <f t="shared" si="0"/>
        <v>30</v>
      </c>
      <c r="AG1" s="233">
        <f>AF1+1</f>
        <v>31</v>
      </c>
      <c r="AH1" s="233">
        <f t="shared" si="0"/>
        <v>32</v>
      </c>
      <c r="AI1" s="233"/>
      <c r="AJ1" s="233"/>
      <c r="AK1" s="233" t="e">
        <f>#REF!+1</f>
        <v>#REF!</v>
      </c>
      <c r="AL1" s="233" t="e">
        <f t="shared" si="0"/>
        <v>#REF!</v>
      </c>
      <c r="AM1" s="233" t="e">
        <f t="shared" si="0"/>
        <v>#REF!</v>
      </c>
      <c r="AN1" s="233" t="e">
        <f t="shared" si="0"/>
        <v>#REF!</v>
      </c>
      <c r="AO1" s="233" t="e">
        <f t="shared" si="0"/>
        <v>#REF!</v>
      </c>
      <c r="AP1" s="233" t="e">
        <f t="shared" si="0"/>
        <v>#REF!</v>
      </c>
      <c r="AQ1" s="233" t="e">
        <f t="shared" si="0"/>
        <v>#REF!</v>
      </c>
      <c r="AR1" s="233" t="e">
        <f t="shared" si="0"/>
        <v>#REF!</v>
      </c>
      <c r="AS1" s="233" t="e">
        <f t="shared" si="0"/>
        <v>#REF!</v>
      </c>
      <c r="AT1" s="233" t="e">
        <f t="shared" si="0"/>
        <v>#REF!</v>
      </c>
      <c r="AU1" s="233" t="e">
        <f t="shared" si="0"/>
        <v>#REF!</v>
      </c>
      <c r="AV1" s="233" t="e">
        <f t="shared" si="0"/>
        <v>#REF!</v>
      </c>
    </row>
    <row r="2" spans="2:48">
      <c r="C2" s="225"/>
      <c r="D2" s="224"/>
      <c r="E2" s="226"/>
      <c r="G2" s="226"/>
    </row>
    <row r="3" spans="2:48" ht="12" customHeight="1">
      <c r="C3" s="225"/>
      <c r="D3" s="224"/>
      <c r="E3" s="228"/>
      <c r="F3" s="228"/>
      <c r="G3" s="228"/>
      <c r="H3" s="323" t="s">
        <v>0</v>
      </c>
      <c r="K3" s="228"/>
      <c r="Q3" s="229"/>
    </row>
    <row r="4" spans="2:48">
      <c r="C4" s="225"/>
      <c r="D4" s="224"/>
      <c r="E4" s="228"/>
      <c r="F4" s="228"/>
      <c r="G4" s="228"/>
      <c r="H4" s="323" t="s">
        <v>1</v>
      </c>
      <c r="K4" s="228"/>
      <c r="AB4" s="326"/>
    </row>
    <row r="5" spans="2:48">
      <c r="C5" s="225"/>
      <c r="D5" s="224"/>
      <c r="E5" s="226"/>
      <c r="G5" s="226"/>
      <c r="H5" s="324">
        <f ca="1">NOW()</f>
        <v>45849.956438310182</v>
      </c>
      <c r="AN5" s="224"/>
      <c r="AO5" s="224"/>
      <c r="AP5" s="224"/>
    </row>
    <row r="6" spans="2:48">
      <c r="B6" s="225"/>
      <c r="D6" s="224"/>
      <c r="R6" s="231">
        <v>44810</v>
      </c>
      <c r="T6" s="232">
        <v>45197</v>
      </c>
      <c r="U6" s="276"/>
      <c r="V6" s="232">
        <v>45362</v>
      </c>
      <c r="AB6" s="417"/>
      <c r="AN6" s="233">
        <v>1.1610847921862405E-2</v>
      </c>
      <c r="AO6" s="233">
        <v>8.988282708524269E-3</v>
      </c>
      <c r="AP6" s="233">
        <v>7.7529893561887461E-3</v>
      </c>
      <c r="AQ6" s="234">
        <v>2.4318057116359135E-2</v>
      </c>
      <c r="AR6" s="233"/>
      <c r="AS6" s="233"/>
      <c r="AT6" s="233"/>
      <c r="AU6" s="235">
        <v>1.801851990409967E-2</v>
      </c>
      <c r="AV6" s="234">
        <v>2.1247044711268277E-2</v>
      </c>
    </row>
    <row r="7" spans="2:48" s="237" customFormat="1" ht="54" customHeight="1">
      <c r="B7" s="438" t="s">
        <v>2</v>
      </c>
      <c r="C7" s="446" t="s">
        <v>3</v>
      </c>
      <c r="D7" s="438" t="s">
        <v>4</v>
      </c>
      <c r="E7" s="446" t="s">
        <v>5</v>
      </c>
      <c r="F7" s="447" t="s">
        <v>6</v>
      </c>
      <c r="G7" s="438" t="s">
        <v>7</v>
      </c>
      <c r="H7" s="431" t="s">
        <v>8</v>
      </c>
      <c r="I7" s="431" t="s">
        <v>9</v>
      </c>
      <c r="J7" s="431" t="s">
        <v>10</v>
      </c>
      <c r="K7" s="444" t="s">
        <v>10</v>
      </c>
      <c r="L7" s="278"/>
      <c r="M7" s="263" t="s">
        <v>11</v>
      </c>
      <c r="N7" s="438" t="s">
        <v>12</v>
      </c>
      <c r="O7" s="442" t="s">
        <v>13</v>
      </c>
      <c r="P7" s="438" t="s">
        <v>14</v>
      </c>
      <c r="Q7" s="439" t="s">
        <v>15</v>
      </c>
      <c r="R7" s="277">
        <v>0</v>
      </c>
      <c r="S7" s="430" t="s">
        <v>16</v>
      </c>
      <c r="T7" s="277">
        <v>0</v>
      </c>
      <c r="U7" s="430" t="s">
        <v>16</v>
      </c>
      <c r="V7" s="277">
        <v>0</v>
      </c>
      <c r="W7" s="430" t="s">
        <v>16</v>
      </c>
      <c r="X7" s="277">
        <v>0</v>
      </c>
      <c r="Y7" s="430" t="s">
        <v>16</v>
      </c>
      <c r="Z7" s="277">
        <v>0</v>
      </c>
      <c r="AA7" s="430" t="s">
        <v>16</v>
      </c>
      <c r="AB7" s="277">
        <v>0</v>
      </c>
      <c r="AC7" s="441" t="s">
        <v>16</v>
      </c>
      <c r="AD7" s="266">
        <v>7.0000000000000007E-2</v>
      </c>
      <c r="AE7" s="267">
        <v>0</v>
      </c>
      <c r="AF7" s="431" t="s">
        <v>17</v>
      </c>
      <c r="AG7" s="265">
        <v>0.05</v>
      </c>
      <c r="AH7" s="432" t="s">
        <v>18</v>
      </c>
      <c r="AI7" s="433" t="s">
        <v>19</v>
      </c>
      <c r="AJ7" s="265">
        <v>0.15</v>
      </c>
      <c r="AK7" s="433" t="s">
        <v>20</v>
      </c>
      <c r="AL7" s="433" t="s">
        <v>21</v>
      </c>
      <c r="AM7" s="268">
        <f>100%-AG7-AJ7</f>
        <v>0.79999999999999993</v>
      </c>
      <c r="AN7" s="435" t="s">
        <v>22</v>
      </c>
      <c r="AO7" s="436"/>
      <c r="AP7" s="437"/>
      <c r="AQ7" s="429" t="s">
        <v>23</v>
      </c>
      <c r="AR7" s="429"/>
      <c r="AS7" s="429"/>
      <c r="AT7" s="429"/>
      <c r="AU7" s="429"/>
      <c r="AV7" s="236" t="s">
        <v>24</v>
      </c>
    </row>
    <row r="8" spans="2:48" s="243" customFormat="1" ht="88.5" customHeight="1">
      <c r="B8" s="438"/>
      <c r="C8" s="446"/>
      <c r="D8" s="438"/>
      <c r="E8" s="446"/>
      <c r="F8" s="447"/>
      <c r="G8" s="438"/>
      <c r="H8" s="431"/>
      <c r="I8" s="431"/>
      <c r="J8" s="431"/>
      <c r="K8" s="445"/>
      <c r="L8" s="263" t="s">
        <v>11</v>
      </c>
      <c r="M8" s="278">
        <v>3000</v>
      </c>
      <c r="N8" s="438"/>
      <c r="O8" s="443"/>
      <c r="P8" s="438"/>
      <c r="Q8" s="440"/>
      <c r="R8" s="278" t="s">
        <v>25</v>
      </c>
      <c r="S8" s="430"/>
      <c r="T8" s="278" t="s">
        <v>26</v>
      </c>
      <c r="U8" s="430"/>
      <c r="V8" s="278" t="s">
        <v>27</v>
      </c>
      <c r="W8" s="430"/>
      <c r="X8" s="278" t="s">
        <v>28</v>
      </c>
      <c r="Y8" s="430"/>
      <c r="Z8" s="263" t="s">
        <v>29</v>
      </c>
      <c r="AA8" s="430"/>
      <c r="AB8" s="263" t="s">
        <v>30</v>
      </c>
      <c r="AC8" s="441"/>
      <c r="AD8" s="269" t="s">
        <v>31</v>
      </c>
      <c r="AE8" s="264" t="s">
        <v>32</v>
      </c>
      <c r="AF8" s="431"/>
      <c r="AG8" s="264" t="s">
        <v>33</v>
      </c>
      <c r="AH8" s="432"/>
      <c r="AI8" s="434"/>
      <c r="AJ8" s="264" t="s">
        <v>34</v>
      </c>
      <c r="AK8" s="434"/>
      <c r="AL8" s="434"/>
      <c r="AM8" s="264" t="s">
        <v>35</v>
      </c>
      <c r="AN8" s="270" t="s">
        <v>36</v>
      </c>
      <c r="AO8" s="270" t="s">
        <v>37</v>
      </c>
      <c r="AP8" s="270" t="s">
        <v>38</v>
      </c>
      <c r="AQ8" s="238" t="s">
        <v>39</v>
      </c>
      <c r="AR8" s="239"/>
      <c r="AS8" s="240"/>
      <c r="AT8" s="241"/>
      <c r="AU8" s="242" t="s">
        <v>40</v>
      </c>
      <c r="AV8" s="274" t="s">
        <v>41</v>
      </c>
    </row>
    <row r="9" spans="2:48" s="250" customFormat="1" ht="16.5" hidden="1" customHeight="1">
      <c r="B9" s="244">
        <v>1</v>
      </c>
      <c r="C9" s="245" t="s">
        <v>42</v>
      </c>
      <c r="D9" s="246" t="s">
        <v>43</v>
      </c>
      <c r="E9" s="245" t="s">
        <v>44</v>
      </c>
      <c r="F9" s="244"/>
      <c r="G9" s="245"/>
      <c r="H9" s="245" t="s">
        <v>45</v>
      </c>
      <c r="I9" s="247">
        <v>142.4</v>
      </c>
      <c r="J9" s="275">
        <v>80</v>
      </c>
      <c r="K9" s="275">
        <f>J9+L9</f>
        <v>99.4</v>
      </c>
      <c r="L9" s="244">
        <v>19.399999999999999</v>
      </c>
      <c r="M9" s="244">
        <f t="shared" ref="M9:M17" si="1">L9*$M$8</f>
        <v>58199.999999999993</v>
      </c>
      <c r="N9" s="244">
        <f>SUM(M9:M9)</f>
        <v>58199.999999999993</v>
      </c>
      <c r="O9" s="343">
        <v>8900000</v>
      </c>
      <c r="P9" s="244">
        <f t="shared" ref="P9:P17" si="2">N9+O9</f>
        <v>8958200</v>
      </c>
      <c r="Q9" s="244">
        <f t="shared" ref="Q9:Q17" si="3">S9/I9</f>
        <v>62908.707865168537</v>
      </c>
      <c r="R9" s="244">
        <v>0</v>
      </c>
      <c r="S9" s="244">
        <f>P9+R9</f>
        <v>8958200</v>
      </c>
      <c r="T9" s="244">
        <v>0</v>
      </c>
      <c r="U9" s="244">
        <f>S9</f>
        <v>8958200</v>
      </c>
      <c r="V9" s="244">
        <v>0</v>
      </c>
      <c r="W9" s="244">
        <f t="shared" ref="W9:AA16" si="4">U9+V9</f>
        <v>8958200</v>
      </c>
      <c r="X9" s="244"/>
      <c r="Y9" s="244">
        <f t="shared" si="4"/>
        <v>8958200</v>
      </c>
      <c r="Z9" s="244"/>
      <c r="AA9" s="244">
        <f t="shared" si="4"/>
        <v>8958200</v>
      </c>
      <c r="AB9" s="244">
        <v>0</v>
      </c>
      <c r="AC9" s="248">
        <f>U9+AB9</f>
        <v>8958200</v>
      </c>
      <c r="AD9" s="248">
        <f t="shared" ref="AD9:AD17" si="5">AC9*$AD$7</f>
        <v>627074.00000000012</v>
      </c>
      <c r="AE9" s="248">
        <f t="shared" ref="AE9:AE17" si="6">S9*$AE$7</f>
        <v>0</v>
      </c>
      <c r="AF9" s="248">
        <f>AC9+AD9+AE9</f>
        <v>9585274</v>
      </c>
      <c r="AG9" s="248">
        <f t="shared" ref="AG9:AG17" si="7">AF9*$AG$7</f>
        <v>479263.7</v>
      </c>
      <c r="AH9" s="248">
        <v>50000</v>
      </c>
      <c r="AI9" s="248">
        <f>AG9-AH9</f>
        <v>429263.7</v>
      </c>
      <c r="AJ9" s="248">
        <f>AF9*$AJ$7</f>
        <v>1437791.0999999999</v>
      </c>
      <c r="AK9" s="249">
        <v>24</v>
      </c>
      <c r="AL9" s="248">
        <f>AJ9/AK9</f>
        <v>59907.962499999994</v>
      </c>
      <c r="AM9" s="248">
        <f t="shared" ref="AM9:AM17" si="8">AF9*$AM$7</f>
        <v>7668219.1999999993</v>
      </c>
      <c r="AN9" s="248">
        <f t="shared" ref="AN9:AN17" si="9">AM9*$AN$6</f>
        <v>89034.526962705379</v>
      </c>
      <c r="AO9" s="248">
        <f t="shared" ref="AO9:AO16" si="10">AM9*$AO$6</f>
        <v>68924.122040533795</v>
      </c>
      <c r="AP9" s="248">
        <f t="shared" ref="AP9:AP16" si="11">AM9*$AP$6</f>
        <v>59451.621838522173</v>
      </c>
      <c r="AQ9" s="248">
        <f>AM9*$AQ$6</f>
        <v>186476.19248636175</v>
      </c>
      <c r="AR9" s="248"/>
      <c r="AS9" s="248"/>
      <c r="AT9" s="248"/>
      <c r="AU9" s="244">
        <f>AM9*$AU$6</f>
        <v>138169.96028419925</v>
      </c>
      <c r="AV9" s="248">
        <f t="shared" ref="AV9:AV17" si="12">AM9*$AV$6</f>
        <v>162926.99619820583</v>
      </c>
    </row>
    <row r="10" spans="2:48" s="250" customFormat="1">
      <c r="B10" s="244">
        <f>B9+1</f>
        <v>2</v>
      </c>
      <c r="C10" s="245" t="s">
        <v>46</v>
      </c>
      <c r="D10" s="246" t="s">
        <v>47</v>
      </c>
      <c r="E10" s="245" t="s">
        <v>48</v>
      </c>
      <c r="F10" s="244"/>
      <c r="G10" s="245"/>
      <c r="H10" s="245" t="s">
        <v>45</v>
      </c>
      <c r="I10" s="247">
        <v>142.44999999999999</v>
      </c>
      <c r="J10" s="275">
        <v>80</v>
      </c>
      <c r="K10" s="275">
        <f t="shared" ref="K10:K16" si="13">J10+L10</f>
        <v>100.9</v>
      </c>
      <c r="L10" s="244">
        <v>20.9</v>
      </c>
      <c r="M10" s="244">
        <f t="shared" si="1"/>
        <v>62699.999999999993</v>
      </c>
      <c r="N10" s="244">
        <f t="shared" ref="N10:N16" si="14">SUM(M10:M10)</f>
        <v>62699.999999999993</v>
      </c>
      <c r="O10" s="343">
        <v>8900000</v>
      </c>
      <c r="P10" s="244">
        <f t="shared" si="2"/>
        <v>8962700</v>
      </c>
      <c r="Q10" s="244">
        <f t="shared" si="3"/>
        <v>62918.216918216924</v>
      </c>
      <c r="R10" s="244">
        <v>0</v>
      </c>
      <c r="S10" s="244">
        <f t="shared" ref="S10:S16" si="15">P10+R10</f>
        <v>8962700</v>
      </c>
      <c r="T10" s="244">
        <v>0</v>
      </c>
      <c r="U10" s="244">
        <f t="shared" ref="U10:U16" si="16">S10</f>
        <v>8962700</v>
      </c>
      <c r="V10" s="244">
        <v>0</v>
      </c>
      <c r="W10" s="244">
        <f t="shared" si="4"/>
        <v>8962700</v>
      </c>
      <c r="X10" s="244"/>
      <c r="Y10" s="244">
        <f t="shared" si="4"/>
        <v>8962700</v>
      </c>
      <c r="Z10" s="244"/>
      <c r="AA10" s="244">
        <f t="shared" si="4"/>
        <v>8962700</v>
      </c>
      <c r="AB10" s="244">
        <v>0</v>
      </c>
      <c r="AC10" s="248">
        <f t="shared" ref="AC10:AC17" si="17">U10+AB10</f>
        <v>8962700</v>
      </c>
      <c r="AD10" s="248">
        <f t="shared" si="5"/>
        <v>627389.00000000012</v>
      </c>
      <c r="AE10" s="248">
        <f t="shared" si="6"/>
        <v>0</v>
      </c>
      <c r="AF10" s="248">
        <f t="shared" ref="AF10:AF16" si="18">AC10+AD10+AE10</f>
        <v>9590089</v>
      </c>
      <c r="AG10" s="248">
        <f t="shared" si="7"/>
        <v>479504.45</v>
      </c>
      <c r="AH10" s="248">
        <v>50000</v>
      </c>
      <c r="AI10" s="248">
        <f t="shared" ref="AI10:AI17" si="19">AG10-AH10</f>
        <v>429504.45</v>
      </c>
      <c r="AJ10" s="248">
        <f t="shared" ref="AJ10:AJ17" si="20">AF10*$AJ$7</f>
        <v>1438513.3499999999</v>
      </c>
      <c r="AK10" s="249">
        <f>AK9</f>
        <v>24</v>
      </c>
      <c r="AL10" s="248">
        <f t="shared" ref="AL10:AL17" si="21">AJ10/AK10</f>
        <v>59938.056249999994</v>
      </c>
      <c r="AM10" s="248">
        <f t="shared" si="8"/>
        <v>7672071.1999999993</v>
      </c>
      <c r="AN10" s="248">
        <f t="shared" si="9"/>
        <v>89079.25194890039</v>
      </c>
      <c r="AO10" s="248">
        <f t="shared" si="10"/>
        <v>68958.744905527026</v>
      </c>
      <c r="AP10" s="248">
        <f t="shared" si="11"/>
        <v>59481.486353522218</v>
      </c>
      <c r="AQ10" s="248">
        <f>AM10*$AQ$6</f>
        <v>186569.86564237394</v>
      </c>
      <c r="AR10" s="248"/>
      <c r="AS10" s="248"/>
      <c r="AT10" s="248"/>
      <c r="AU10" s="244">
        <f>AM10*$AU$6</f>
        <v>138239.36762286982</v>
      </c>
      <c r="AV10" s="248">
        <f t="shared" si="12"/>
        <v>163008.83981443365</v>
      </c>
    </row>
    <row r="11" spans="2:48" s="250" customFormat="1">
      <c r="B11" s="244">
        <f t="shared" ref="B11:B17" si="22">B10+1</f>
        <v>3</v>
      </c>
      <c r="C11" s="245" t="s">
        <v>49</v>
      </c>
      <c r="D11" s="246" t="s">
        <v>47</v>
      </c>
      <c r="E11" s="245" t="s">
        <v>48</v>
      </c>
      <c r="F11" s="244"/>
      <c r="G11" s="245"/>
      <c r="H11" s="245" t="s">
        <v>45</v>
      </c>
      <c r="I11" s="247">
        <v>142.4</v>
      </c>
      <c r="J11" s="275">
        <v>80</v>
      </c>
      <c r="K11" s="275">
        <f t="shared" si="13"/>
        <v>101.1</v>
      </c>
      <c r="L11" s="244">
        <v>21.1</v>
      </c>
      <c r="M11" s="244">
        <f t="shared" si="1"/>
        <v>63300.000000000007</v>
      </c>
      <c r="N11" s="244">
        <f t="shared" si="14"/>
        <v>63300.000000000007</v>
      </c>
      <c r="O11" s="343">
        <v>8900000</v>
      </c>
      <c r="P11" s="244">
        <f t="shared" si="2"/>
        <v>8963300</v>
      </c>
      <c r="Q11" s="244">
        <f t="shared" si="3"/>
        <v>62944.52247191011</v>
      </c>
      <c r="R11" s="244">
        <v>0</v>
      </c>
      <c r="S11" s="244">
        <f t="shared" si="15"/>
        <v>8963300</v>
      </c>
      <c r="T11" s="244"/>
      <c r="U11" s="244">
        <f t="shared" si="16"/>
        <v>8963300</v>
      </c>
      <c r="V11" s="244"/>
      <c r="W11" s="244">
        <f t="shared" si="4"/>
        <v>8963300</v>
      </c>
      <c r="X11" s="244"/>
      <c r="Y11" s="244">
        <f t="shared" si="4"/>
        <v>8963300</v>
      </c>
      <c r="Z11" s="244"/>
      <c r="AA11" s="244">
        <f t="shared" si="4"/>
        <v>8963300</v>
      </c>
      <c r="AB11" s="244">
        <v>0</v>
      </c>
      <c r="AC11" s="248">
        <f t="shared" si="17"/>
        <v>8963300</v>
      </c>
      <c r="AD11" s="248">
        <f t="shared" si="5"/>
        <v>627431.00000000012</v>
      </c>
      <c r="AE11" s="248">
        <f t="shared" si="6"/>
        <v>0</v>
      </c>
      <c r="AF11" s="248">
        <f t="shared" si="18"/>
        <v>9590731</v>
      </c>
      <c r="AG11" s="248">
        <f t="shared" si="7"/>
        <v>479536.55000000005</v>
      </c>
      <c r="AH11" s="248">
        <v>50000</v>
      </c>
      <c r="AI11" s="248">
        <f t="shared" si="19"/>
        <v>429536.55000000005</v>
      </c>
      <c r="AJ11" s="248">
        <f t="shared" si="20"/>
        <v>1438609.65</v>
      </c>
      <c r="AK11" s="249">
        <f>AK10</f>
        <v>24</v>
      </c>
      <c r="AL11" s="248">
        <f t="shared" si="21"/>
        <v>59942.068749999999</v>
      </c>
      <c r="AM11" s="248">
        <f t="shared" si="8"/>
        <v>7672584.7999999998</v>
      </c>
      <c r="AN11" s="248">
        <f t="shared" si="9"/>
        <v>89085.215280393066</v>
      </c>
      <c r="AO11" s="248">
        <f t="shared" si="10"/>
        <v>68963.361287526131</v>
      </c>
      <c r="AP11" s="248">
        <f t="shared" si="11"/>
        <v>59485.468288855554</v>
      </c>
      <c r="AQ11" s="248"/>
      <c r="AR11" s="248"/>
      <c r="AS11" s="248"/>
      <c r="AT11" s="248"/>
      <c r="AU11" s="244"/>
      <c r="AV11" s="248">
        <f t="shared" si="12"/>
        <v>163019.75229659738</v>
      </c>
    </row>
    <row r="12" spans="2:48" s="250" customFormat="1">
      <c r="B12" s="244">
        <f t="shared" si="22"/>
        <v>4</v>
      </c>
      <c r="C12" s="245" t="s">
        <v>50</v>
      </c>
      <c r="D12" s="246" t="s">
        <v>47</v>
      </c>
      <c r="E12" s="245" t="s">
        <v>48</v>
      </c>
      <c r="F12" s="244"/>
      <c r="G12" s="245"/>
      <c r="H12" s="245" t="s">
        <v>45</v>
      </c>
      <c r="I12" s="247">
        <v>142.4</v>
      </c>
      <c r="J12" s="275">
        <v>80</v>
      </c>
      <c r="K12" s="275">
        <f t="shared" si="13"/>
        <v>98.4</v>
      </c>
      <c r="L12" s="244">
        <v>18.399999999999999</v>
      </c>
      <c r="M12" s="244">
        <f t="shared" si="1"/>
        <v>55199.999999999993</v>
      </c>
      <c r="N12" s="244">
        <f t="shared" si="14"/>
        <v>55199.999999999993</v>
      </c>
      <c r="O12" s="343">
        <v>8900000</v>
      </c>
      <c r="P12" s="244">
        <f t="shared" si="2"/>
        <v>8955200</v>
      </c>
      <c r="Q12" s="244">
        <f t="shared" si="3"/>
        <v>62887.6404494382</v>
      </c>
      <c r="R12" s="244">
        <v>0</v>
      </c>
      <c r="S12" s="244">
        <f t="shared" si="15"/>
        <v>8955200</v>
      </c>
      <c r="T12" s="244"/>
      <c r="U12" s="244">
        <f t="shared" si="16"/>
        <v>8955200</v>
      </c>
      <c r="V12" s="244"/>
      <c r="W12" s="244">
        <f t="shared" si="4"/>
        <v>8955200</v>
      </c>
      <c r="X12" s="244"/>
      <c r="Y12" s="244">
        <f t="shared" si="4"/>
        <v>8955200</v>
      </c>
      <c r="Z12" s="244"/>
      <c r="AA12" s="244">
        <f t="shared" si="4"/>
        <v>8955200</v>
      </c>
      <c r="AB12" s="244">
        <v>0</v>
      </c>
      <c r="AC12" s="248">
        <f t="shared" si="17"/>
        <v>8955200</v>
      </c>
      <c r="AD12" s="248">
        <f t="shared" si="5"/>
        <v>626864.00000000012</v>
      </c>
      <c r="AE12" s="248">
        <f t="shared" si="6"/>
        <v>0</v>
      </c>
      <c r="AF12" s="248">
        <f t="shared" si="18"/>
        <v>9582064</v>
      </c>
      <c r="AG12" s="248">
        <f t="shared" si="7"/>
        <v>479103.2</v>
      </c>
      <c r="AH12" s="248">
        <v>50000</v>
      </c>
      <c r="AI12" s="248">
        <f t="shared" si="19"/>
        <v>429103.2</v>
      </c>
      <c r="AJ12" s="248">
        <f t="shared" si="20"/>
        <v>1437309.5999999999</v>
      </c>
      <c r="AK12" s="249">
        <f t="shared" ref="AK12:AK17" si="23">AK11</f>
        <v>24</v>
      </c>
      <c r="AL12" s="248">
        <f t="shared" si="21"/>
        <v>59887.899999999994</v>
      </c>
      <c r="AM12" s="248">
        <f t="shared" si="8"/>
        <v>7665651.1999999993</v>
      </c>
      <c r="AN12" s="248">
        <f t="shared" si="9"/>
        <v>89004.710305242043</v>
      </c>
      <c r="AO12" s="248">
        <f t="shared" si="10"/>
        <v>68901.040130538313</v>
      </c>
      <c r="AP12" s="248">
        <f t="shared" si="11"/>
        <v>59431.712161855481</v>
      </c>
      <c r="AQ12" s="248"/>
      <c r="AR12" s="248"/>
      <c r="AS12" s="248"/>
      <c r="AT12" s="248"/>
      <c r="AU12" s="244"/>
      <c r="AV12" s="248">
        <f t="shared" si="12"/>
        <v>162872.4337873873</v>
      </c>
    </row>
    <row r="13" spans="2:48" s="250" customFormat="1">
      <c r="B13" s="244">
        <f t="shared" si="22"/>
        <v>5</v>
      </c>
      <c r="C13" s="245" t="s">
        <v>51</v>
      </c>
      <c r="D13" s="246" t="s">
        <v>47</v>
      </c>
      <c r="E13" s="245" t="s">
        <v>48</v>
      </c>
      <c r="F13" s="244"/>
      <c r="G13" s="245"/>
      <c r="H13" s="245" t="s">
        <v>45</v>
      </c>
      <c r="I13" s="247">
        <v>142.44999999999999</v>
      </c>
      <c r="J13" s="275">
        <v>80</v>
      </c>
      <c r="K13" s="275">
        <f t="shared" si="13"/>
        <v>95.8</v>
      </c>
      <c r="L13" s="244">
        <v>15.8</v>
      </c>
      <c r="M13" s="244">
        <f t="shared" si="1"/>
        <v>47400</v>
      </c>
      <c r="N13" s="244">
        <f t="shared" si="14"/>
        <v>47400</v>
      </c>
      <c r="O13" s="343">
        <v>8900000</v>
      </c>
      <c r="P13" s="244">
        <f t="shared" si="2"/>
        <v>8947400</v>
      </c>
      <c r="Q13" s="244">
        <f t="shared" si="3"/>
        <v>62810.810810810814</v>
      </c>
      <c r="R13" s="244">
        <v>0</v>
      </c>
      <c r="S13" s="244">
        <f t="shared" si="15"/>
        <v>8947400</v>
      </c>
      <c r="T13" s="244"/>
      <c r="U13" s="244">
        <f t="shared" si="16"/>
        <v>8947400</v>
      </c>
      <c r="V13" s="244"/>
      <c r="W13" s="244">
        <f t="shared" si="4"/>
        <v>8947400</v>
      </c>
      <c r="X13" s="244"/>
      <c r="Y13" s="244">
        <f t="shared" si="4"/>
        <v>8947400</v>
      </c>
      <c r="Z13" s="244"/>
      <c r="AA13" s="244">
        <f t="shared" si="4"/>
        <v>8947400</v>
      </c>
      <c r="AB13" s="244">
        <v>0</v>
      </c>
      <c r="AC13" s="248">
        <f t="shared" si="17"/>
        <v>8947400</v>
      </c>
      <c r="AD13" s="248">
        <f t="shared" si="5"/>
        <v>626318.00000000012</v>
      </c>
      <c r="AE13" s="248">
        <f t="shared" si="6"/>
        <v>0</v>
      </c>
      <c r="AF13" s="248">
        <f t="shared" si="18"/>
        <v>9573718</v>
      </c>
      <c r="AG13" s="248">
        <f t="shared" si="7"/>
        <v>478685.9</v>
      </c>
      <c r="AH13" s="248">
        <v>50000</v>
      </c>
      <c r="AI13" s="248">
        <f t="shared" si="19"/>
        <v>428685.9</v>
      </c>
      <c r="AJ13" s="248">
        <f t="shared" si="20"/>
        <v>1436057.7</v>
      </c>
      <c r="AK13" s="249">
        <f t="shared" si="23"/>
        <v>24</v>
      </c>
      <c r="AL13" s="248">
        <f t="shared" si="21"/>
        <v>59835.737499999996</v>
      </c>
      <c r="AM13" s="248">
        <f t="shared" si="8"/>
        <v>7658974.3999999994</v>
      </c>
      <c r="AN13" s="248">
        <f t="shared" si="9"/>
        <v>88927.186995837357</v>
      </c>
      <c r="AO13" s="248">
        <f t="shared" si="10"/>
        <v>68841.027164550032</v>
      </c>
      <c r="AP13" s="248">
        <f t="shared" si="11"/>
        <v>59379.947002522087</v>
      </c>
      <c r="AQ13" s="248"/>
      <c r="AR13" s="248"/>
      <c r="AS13" s="248"/>
      <c r="AT13" s="248"/>
      <c r="AU13" s="244"/>
      <c r="AV13" s="248">
        <f t="shared" si="12"/>
        <v>162730.5715192591</v>
      </c>
    </row>
    <row r="14" spans="2:48" s="250" customFormat="1">
      <c r="B14" s="244">
        <f t="shared" si="22"/>
        <v>6</v>
      </c>
      <c r="C14" s="245" t="s">
        <v>52</v>
      </c>
      <c r="D14" s="246" t="s">
        <v>47</v>
      </c>
      <c r="E14" s="245" t="s">
        <v>48</v>
      </c>
      <c r="F14" s="244"/>
      <c r="G14" s="245"/>
      <c r="H14" s="245" t="s">
        <v>45</v>
      </c>
      <c r="I14" s="247">
        <v>142.4</v>
      </c>
      <c r="J14" s="275">
        <v>80</v>
      </c>
      <c r="K14" s="275">
        <f t="shared" si="13"/>
        <v>93.2</v>
      </c>
      <c r="L14" s="244">
        <v>13.2</v>
      </c>
      <c r="M14" s="244">
        <f t="shared" si="1"/>
        <v>39600</v>
      </c>
      <c r="N14" s="244">
        <f t="shared" si="14"/>
        <v>39600</v>
      </c>
      <c r="O14" s="343">
        <v>8900000</v>
      </c>
      <c r="P14" s="244">
        <f t="shared" si="2"/>
        <v>8939600</v>
      </c>
      <c r="Q14" s="244">
        <f t="shared" si="3"/>
        <v>62778.089887640446</v>
      </c>
      <c r="R14" s="244">
        <v>0</v>
      </c>
      <c r="S14" s="244">
        <f t="shared" si="15"/>
        <v>8939600</v>
      </c>
      <c r="T14" s="244"/>
      <c r="U14" s="244">
        <f t="shared" si="16"/>
        <v>8939600</v>
      </c>
      <c r="V14" s="244"/>
      <c r="W14" s="244">
        <f t="shared" si="4"/>
        <v>8939600</v>
      </c>
      <c r="X14" s="244"/>
      <c r="Y14" s="244">
        <f t="shared" si="4"/>
        <v>8939600</v>
      </c>
      <c r="Z14" s="244"/>
      <c r="AA14" s="244">
        <f t="shared" si="4"/>
        <v>8939600</v>
      </c>
      <c r="AB14" s="244">
        <v>0</v>
      </c>
      <c r="AC14" s="248">
        <f t="shared" si="17"/>
        <v>8939600</v>
      </c>
      <c r="AD14" s="248">
        <f t="shared" si="5"/>
        <v>625772.00000000012</v>
      </c>
      <c r="AE14" s="248">
        <f t="shared" si="6"/>
        <v>0</v>
      </c>
      <c r="AF14" s="248">
        <f t="shared" si="18"/>
        <v>9565372</v>
      </c>
      <c r="AG14" s="248">
        <f t="shared" si="7"/>
        <v>478268.60000000003</v>
      </c>
      <c r="AH14" s="248">
        <v>50000</v>
      </c>
      <c r="AI14" s="248">
        <f t="shared" si="19"/>
        <v>428268.60000000003</v>
      </c>
      <c r="AJ14" s="248">
        <f t="shared" si="20"/>
        <v>1434805.8</v>
      </c>
      <c r="AK14" s="249">
        <f t="shared" si="23"/>
        <v>24</v>
      </c>
      <c r="AL14" s="248">
        <f t="shared" si="21"/>
        <v>59783.575000000004</v>
      </c>
      <c r="AM14" s="248">
        <f t="shared" si="8"/>
        <v>7652297.5999999996</v>
      </c>
      <c r="AN14" s="248">
        <f t="shared" si="9"/>
        <v>88849.663686432657</v>
      </c>
      <c r="AO14" s="248">
        <f t="shared" si="10"/>
        <v>68781.014198561767</v>
      </c>
      <c r="AP14" s="248">
        <f t="shared" si="11"/>
        <v>59328.181843188686</v>
      </c>
      <c r="AQ14" s="248"/>
      <c r="AR14" s="248"/>
      <c r="AS14" s="248"/>
      <c r="AT14" s="248"/>
      <c r="AU14" s="244"/>
      <c r="AV14" s="248">
        <f t="shared" si="12"/>
        <v>162588.70925113093</v>
      </c>
    </row>
    <row r="15" spans="2:48" s="250" customFormat="1">
      <c r="B15" s="244">
        <f t="shared" si="22"/>
        <v>7</v>
      </c>
      <c r="C15" s="245" t="s">
        <v>53</v>
      </c>
      <c r="D15" s="246" t="s">
        <v>47</v>
      </c>
      <c r="E15" s="245" t="s">
        <v>48</v>
      </c>
      <c r="F15" s="244"/>
      <c r="G15" s="245"/>
      <c r="H15" s="245" t="s">
        <v>45</v>
      </c>
      <c r="I15" s="247">
        <v>142.4</v>
      </c>
      <c r="J15" s="275">
        <v>80</v>
      </c>
      <c r="K15" s="275">
        <f t="shared" si="13"/>
        <v>90.5</v>
      </c>
      <c r="L15" s="244">
        <v>10.5</v>
      </c>
      <c r="M15" s="244">
        <f t="shared" si="1"/>
        <v>31500</v>
      </c>
      <c r="N15" s="244">
        <f t="shared" si="14"/>
        <v>31500</v>
      </c>
      <c r="O15" s="343">
        <v>8900000</v>
      </c>
      <c r="P15" s="244">
        <f t="shared" si="2"/>
        <v>8931500</v>
      </c>
      <c r="Q15" s="244">
        <f t="shared" si="3"/>
        <v>62721.207865168537</v>
      </c>
      <c r="R15" s="244">
        <v>0</v>
      </c>
      <c r="S15" s="244">
        <f t="shared" si="15"/>
        <v>8931500</v>
      </c>
      <c r="T15" s="244"/>
      <c r="U15" s="244">
        <f t="shared" si="16"/>
        <v>8931500</v>
      </c>
      <c r="V15" s="244"/>
      <c r="W15" s="244">
        <f t="shared" si="4"/>
        <v>8931500</v>
      </c>
      <c r="X15" s="244"/>
      <c r="Y15" s="244">
        <f t="shared" si="4"/>
        <v>8931500</v>
      </c>
      <c r="Z15" s="244"/>
      <c r="AA15" s="244">
        <f t="shared" si="4"/>
        <v>8931500</v>
      </c>
      <c r="AB15" s="244">
        <v>0</v>
      </c>
      <c r="AC15" s="248">
        <f t="shared" si="17"/>
        <v>8931500</v>
      </c>
      <c r="AD15" s="248">
        <f t="shared" si="5"/>
        <v>625205.00000000012</v>
      </c>
      <c r="AE15" s="248">
        <f t="shared" si="6"/>
        <v>0</v>
      </c>
      <c r="AF15" s="248">
        <f t="shared" si="18"/>
        <v>9556705</v>
      </c>
      <c r="AG15" s="248">
        <f t="shared" si="7"/>
        <v>477835.25</v>
      </c>
      <c r="AH15" s="248">
        <v>50000</v>
      </c>
      <c r="AI15" s="248">
        <f t="shared" si="19"/>
        <v>427835.25</v>
      </c>
      <c r="AJ15" s="248">
        <f t="shared" si="20"/>
        <v>1433505.75</v>
      </c>
      <c r="AK15" s="249">
        <f t="shared" si="23"/>
        <v>24</v>
      </c>
      <c r="AL15" s="248">
        <f t="shared" si="21"/>
        <v>59729.40625</v>
      </c>
      <c r="AM15" s="248">
        <f t="shared" si="8"/>
        <v>7645363.9999999991</v>
      </c>
      <c r="AN15" s="248">
        <f t="shared" si="9"/>
        <v>88769.158711281634</v>
      </c>
      <c r="AO15" s="248">
        <f t="shared" si="10"/>
        <v>68718.693041573933</v>
      </c>
      <c r="AP15" s="248">
        <f t="shared" si="11"/>
        <v>59274.425716188613</v>
      </c>
      <c r="AQ15" s="248"/>
      <c r="AR15" s="248"/>
      <c r="AS15" s="248"/>
      <c r="AT15" s="248"/>
      <c r="AU15" s="244"/>
      <c r="AV15" s="248">
        <f t="shared" si="12"/>
        <v>162441.39074192086</v>
      </c>
    </row>
    <row r="16" spans="2:48" s="250" customFormat="1">
      <c r="B16" s="244">
        <f t="shared" si="22"/>
        <v>8</v>
      </c>
      <c r="C16" s="245" t="s">
        <v>54</v>
      </c>
      <c r="D16" s="246" t="s">
        <v>47</v>
      </c>
      <c r="E16" s="245" t="s">
        <v>48</v>
      </c>
      <c r="F16" s="244"/>
      <c r="G16" s="245"/>
      <c r="H16" s="245" t="s">
        <v>45</v>
      </c>
      <c r="I16" s="247">
        <v>142.44999999999999</v>
      </c>
      <c r="J16" s="275">
        <v>80</v>
      </c>
      <c r="K16" s="275">
        <f t="shared" si="13"/>
        <v>80</v>
      </c>
      <c r="L16" s="244">
        <v>0</v>
      </c>
      <c r="M16" s="244">
        <f t="shared" si="1"/>
        <v>0</v>
      </c>
      <c r="N16" s="244">
        <f t="shared" si="14"/>
        <v>0</v>
      </c>
      <c r="O16" s="343">
        <v>8900000</v>
      </c>
      <c r="P16" s="244">
        <f t="shared" si="2"/>
        <v>8900000</v>
      </c>
      <c r="Q16" s="244">
        <f t="shared" si="3"/>
        <v>62478.062478062486</v>
      </c>
      <c r="R16" s="244">
        <v>0</v>
      </c>
      <c r="S16" s="244">
        <f t="shared" si="15"/>
        <v>8900000</v>
      </c>
      <c r="T16" s="244"/>
      <c r="U16" s="244">
        <f t="shared" si="16"/>
        <v>8900000</v>
      </c>
      <c r="V16" s="244"/>
      <c r="W16" s="244">
        <f t="shared" si="4"/>
        <v>8900000</v>
      </c>
      <c r="X16" s="244"/>
      <c r="Y16" s="244">
        <f t="shared" si="4"/>
        <v>8900000</v>
      </c>
      <c r="Z16" s="244"/>
      <c r="AA16" s="244">
        <f t="shared" si="4"/>
        <v>8900000</v>
      </c>
      <c r="AB16" s="244">
        <v>0</v>
      </c>
      <c r="AC16" s="248">
        <f t="shared" si="17"/>
        <v>8900000</v>
      </c>
      <c r="AD16" s="248">
        <f t="shared" si="5"/>
        <v>623000.00000000012</v>
      </c>
      <c r="AE16" s="248">
        <f t="shared" si="6"/>
        <v>0</v>
      </c>
      <c r="AF16" s="248">
        <f t="shared" si="18"/>
        <v>9523000</v>
      </c>
      <c r="AG16" s="248">
        <f t="shared" si="7"/>
        <v>476150</v>
      </c>
      <c r="AH16" s="248">
        <v>50000</v>
      </c>
      <c r="AI16" s="248">
        <f t="shared" si="19"/>
        <v>426150</v>
      </c>
      <c r="AJ16" s="248">
        <f t="shared" si="20"/>
        <v>1428450</v>
      </c>
      <c r="AK16" s="249">
        <f t="shared" si="23"/>
        <v>24</v>
      </c>
      <c r="AL16" s="248">
        <f t="shared" si="21"/>
        <v>59518.75</v>
      </c>
      <c r="AM16" s="248">
        <f t="shared" si="8"/>
        <v>7618399.9999999991</v>
      </c>
      <c r="AN16" s="248">
        <f t="shared" si="9"/>
        <v>88456.083807916526</v>
      </c>
      <c r="AO16" s="248">
        <f t="shared" si="10"/>
        <v>68476.332986621288</v>
      </c>
      <c r="AP16" s="248">
        <f t="shared" si="11"/>
        <v>59065.374111188336</v>
      </c>
      <c r="AQ16" s="248"/>
      <c r="AR16" s="248"/>
      <c r="AS16" s="248"/>
      <c r="AT16" s="248"/>
      <c r="AU16" s="244"/>
      <c r="AV16" s="248">
        <f t="shared" si="12"/>
        <v>161868.48542832621</v>
      </c>
    </row>
    <row r="17" spans="2:48" s="250" customFormat="1">
      <c r="B17" s="244">
        <f t="shared" si="22"/>
        <v>9</v>
      </c>
      <c r="C17" s="245" t="s">
        <v>55</v>
      </c>
      <c r="D17" s="246" t="s">
        <v>47</v>
      </c>
      <c r="E17" s="245" t="s">
        <v>44</v>
      </c>
      <c r="F17" s="244"/>
      <c r="G17" s="245"/>
      <c r="H17" s="245" t="s">
        <v>45</v>
      </c>
      <c r="I17" s="247">
        <v>142.4</v>
      </c>
      <c r="J17" s="275">
        <v>80</v>
      </c>
      <c r="K17" s="275">
        <f t="shared" ref="K17" si="24">J17+L17</f>
        <v>80</v>
      </c>
      <c r="L17" s="244">
        <v>0</v>
      </c>
      <c r="M17" s="244">
        <f t="shared" si="1"/>
        <v>0</v>
      </c>
      <c r="N17" s="244">
        <f>SUM(M17:M17)</f>
        <v>0</v>
      </c>
      <c r="O17" s="343">
        <v>8900000</v>
      </c>
      <c r="P17" s="244">
        <f t="shared" si="2"/>
        <v>8900000</v>
      </c>
      <c r="Q17" s="244">
        <f t="shared" si="3"/>
        <v>62500</v>
      </c>
      <c r="R17" s="244">
        <v>0</v>
      </c>
      <c r="S17" s="244">
        <f>P17+R17</f>
        <v>8900000</v>
      </c>
      <c r="T17" s="244">
        <v>0</v>
      </c>
      <c r="U17" s="244">
        <f>S17</f>
        <v>8900000</v>
      </c>
      <c r="V17" s="244">
        <v>0</v>
      </c>
      <c r="W17" s="244">
        <f t="shared" ref="W17" si="25">U17+V17</f>
        <v>8900000</v>
      </c>
      <c r="X17" s="244"/>
      <c r="Y17" s="244">
        <f t="shared" ref="Y17" si="26">W17+X17</f>
        <v>8900000</v>
      </c>
      <c r="Z17" s="244"/>
      <c r="AA17" s="244">
        <f t="shared" ref="AA17" si="27">Y17+Z17</f>
        <v>8900000</v>
      </c>
      <c r="AB17" s="244">
        <v>0</v>
      </c>
      <c r="AC17" s="248">
        <f t="shared" si="17"/>
        <v>8900000</v>
      </c>
      <c r="AD17" s="248">
        <f t="shared" si="5"/>
        <v>623000.00000000012</v>
      </c>
      <c r="AE17" s="248">
        <f t="shared" si="6"/>
        <v>0</v>
      </c>
      <c r="AF17" s="248">
        <f>AC17+AD17+AE17</f>
        <v>9523000</v>
      </c>
      <c r="AG17" s="248">
        <f t="shared" si="7"/>
        <v>476150</v>
      </c>
      <c r="AH17" s="248">
        <v>50000</v>
      </c>
      <c r="AI17" s="248">
        <f t="shared" si="19"/>
        <v>426150</v>
      </c>
      <c r="AJ17" s="248">
        <f t="shared" si="20"/>
        <v>1428450</v>
      </c>
      <c r="AK17" s="249">
        <f t="shared" si="23"/>
        <v>24</v>
      </c>
      <c r="AL17" s="248">
        <f t="shared" si="21"/>
        <v>59518.75</v>
      </c>
      <c r="AM17" s="248">
        <f t="shared" si="8"/>
        <v>7618399.9999999991</v>
      </c>
      <c r="AN17" s="248">
        <f t="shared" si="9"/>
        <v>88456.083807916526</v>
      </c>
      <c r="AO17" s="248">
        <f t="shared" ref="AO17" si="28">AM17*$AO$6</f>
        <v>68476.332986621288</v>
      </c>
      <c r="AP17" s="248">
        <f t="shared" ref="AP17" si="29">AM17*$AP$6</f>
        <v>59065.374111188336</v>
      </c>
      <c r="AQ17" s="248">
        <f>AM17*$AQ$6</f>
        <v>185264.68633527041</v>
      </c>
      <c r="AR17" s="248"/>
      <c r="AS17" s="248"/>
      <c r="AT17" s="248"/>
      <c r="AU17" s="244">
        <f>AM17*$AU$6</f>
        <v>137272.29203739291</v>
      </c>
      <c r="AV17" s="248">
        <f t="shared" si="12"/>
        <v>161868.48542832621</v>
      </c>
    </row>
    <row r="18" spans="2:48" s="337" customFormat="1" ht="12" hidden="1">
      <c r="B18" s="333"/>
      <c r="C18" s="334"/>
      <c r="D18" s="346"/>
      <c r="E18" s="334"/>
      <c r="F18" s="333"/>
      <c r="G18" s="334"/>
      <c r="H18" s="334"/>
      <c r="I18" s="333">
        <f>SUM(I9:I17)</f>
        <v>1281.75</v>
      </c>
      <c r="J18" s="335"/>
      <c r="K18" s="333"/>
      <c r="L18" s="333">
        <f>SUM(L9:L17)</f>
        <v>119.3</v>
      </c>
      <c r="M18" s="333">
        <f>SUM(M9:M17)</f>
        <v>357900</v>
      </c>
      <c r="N18" s="333">
        <f>SUM(N9:N17)</f>
        <v>357900</v>
      </c>
      <c r="O18" s="333">
        <f>SUM(O9:O17)</f>
        <v>80100000</v>
      </c>
      <c r="P18" s="333">
        <f>SUM(P9:P17)</f>
        <v>80457900</v>
      </c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41">
        <f>SUM(AC9:AC17)</f>
        <v>80457900</v>
      </c>
      <c r="AD18" s="335"/>
      <c r="AE18" s="335"/>
      <c r="AF18" s="335"/>
      <c r="AG18" s="335"/>
      <c r="AH18" s="335"/>
      <c r="AI18" s="335"/>
      <c r="AJ18" s="335"/>
      <c r="AK18" s="336"/>
      <c r="AL18" s="335"/>
      <c r="AM18" s="335"/>
      <c r="AN18" s="335"/>
      <c r="AO18" s="335"/>
      <c r="AP18" s="335"/>
      <c r="AQ18" s="335"/>
      <c r="AR18" s="335"/>
      <c r="AS18" s="335"/>
      <c r="AT18" s="335"/>
      <c r="AU18" s="333"/>
    </row>
    <row r="19" spans="2:48" s="250" customFormat="1" hidden="1">
      <c r="B19" s="251"/>
      <c r="C19" s="252"/>
      <c r="D19" s="423"/>
      <c r="E19" s="252"/>
      <c r="F19" s="251"/>
      <c r="G19" s="252"/>
      <c r="H19" s="252"/>
      <c r="I19" s="253"/>
      <c r="J19" s="254"/>
      <c r="K19" s="251"/>
      <c r="L19" s="251"/>
      <c r="M19" s="251"/>
      <c r="N19" s="251"/>
      <c r="O19" s="327"/>
      <c r="P19" s="251"/>
      <c r="Q19" s="251"/>
      <c r="R19" s="251"/>
      <c r="S19" s="251"/>
      <c r="T19" s="251"/>
      <c r="U19" s="251"/>
      <c r="V19" s="251"/>
      <c r="W19" s="251"/>
      <c r="X19" s="251"/>
      <c r="Y19" s="251"/>
      <c r="Z19" s="251"/>
      <c r="AA19" s="251"/>
      <c r="AB19" s="251"/>
      <c r="AC19" s="254"/>
      <c r="AD19" s="254"/>
      <c r="AE19" s="254"/>
      <c r="AF19" s="254"/>
      <c r="AG19" s="254"/>
      <c r="AH19" s="254"/>
      <c r="AI19" s="254"/>
      <c r="AJ19" s="254"/>
      <c r="AK19" s="255"/>
      <c r="AL19" s="254"/>
      <c r="AM19" s="254"/>
      <c r="AN19" s="254"/>
      <c r="AO19" s="254"/>
      <c r="AP19" s="254"/>
      <c r="AQ19" s="254"/>
      <c r="AR19" s="254"/>
      <c r="AS19" s="254"/>
      <c r="AT19" s="254"/>
      <c r="AU19" s="251"/>
    </row>
    <row r="20" spans="2:48">
      <c r="C20" s="256" t="s">
        <v>56</v>
      </c>
      <c r="D20" s="326"/>
      <c r="E20" s="258"/>
      <c r="H20" s="257"/>
    </row>
    <row r="21" spans="2:48">
      <c r="C21" s="259" t="s">
        <v>57</v>
      </c>
      <c r="D21" s="326"/>
      <c r="E21" s="258"/>
      <c r="H21" s="260"/>
      <c r="P21" s="328"/>
      <c r="AF21" s="254"/>
      <c r="AG21" s="227"/>
    </row>
    <row r="22" spans="2:48">
      <c r="C22" s="259" t="s">
        <v>58</v>
      </c>
      <c r="D22" s="326"/>
      <c r="E22" s="258"/>
      <c r="AL22" s="257"/>
      <c r="AM22" s="257"/>
      <c r="AN22" s="257"/>
    </row>
    <row r="23" spans="2:48">
      <c r="C23" s="259" t="s">
        <v>59</v>
      </c>
      <c r="D23" s="326"/>
      <c r="E23" s="258"/>
      <c r="AL23" s="257"/>
      <c r="AM23" s="257"/>
      <c r="AN23" s="257"/>
      <c r="AO23" s="262"/>
    </row>
    <row r="24" spans="2:48">
      <c r="C24" s="259" t="s">
        <v>60</v>
      </c>
      <c r="D24" s="326"/>
      <c r="E24" s="258"/>
      <c r="AL24" s="257"/>
      <c r="AM24" s="257"/>
      <c r="AN24" s="257"/>
      <c r="AO24" s="262"/>
    </row>
    <row r="25" spans="2:48">
      <c r="C25" s="259" t="s">
        <v>61</v>
      </c>
      <c r="D25" s="326"/>
      <c r="E25" s="258"/>
      <c r="AL25" s="257"/>
      <c r="AM25" s="257"/>
      <c r="AN25" s="257"/>
      <c r="AO25" s="262"/>
    </row>
    <row r="26" spans="2:48" ht="15">
      <c r="C26" s="259" t="s">
        <v>62</v>
      </c>
      <c r="D26" s="326"/>
      <c r="E26" s="258"/>
      <c r="AL26" s="257"/>
      <c r="AM26" s="257"/>
      <c r="AN26" s="257"/>
      <c r="AO26" s="262"/>
    </row>
    <row r="27" spans="2:48" hidden="1">
      <c r="B27" s="338"/>
      <c r="C27" s="329" t="str">
        <f t="shared" ref="C27:C35" si="30">C9</f>
        <v>Unit 1</v>
      </c>
      <c r="D27" s="347">
        <v>10544000</v>
      </c>
      <c r="E27" s="342">
        <f t="shared" ref="E27:E35" si="31">I9</f>
        <v>142.4</v>
      </c>
      <c r="AH27" s="257"/>
      <c r="AI27" s="257"/>
      <c r="AJ27" s="257"/>
      <c r="AK27" s="228"/>
      <c r="AL27" s="257"/>
      <c r="AM27" s="257"/>
      <c r="AN27" s="257"/>
    </row>
    <row r="28" spans="2:48" hidden="1">
      <c r="B28" s="338"/>
      <c r="C28" s="329" t="str">
        <f t="shared" si="30"/>
        <v>Unit 2</v>
      </c>
      <c r="D28" s="347">
        <v>10610000</v>
      </c>
      <c r="E28" s="342">
        <f t="shared" si="31"/>
        <v>142.44999999999999</v>
      </c>
      <c r="AH28" s="257"/>
      <c r="AI28" s="257"/>
      <c r="AJ28" s="257"/>
      <c r="AK28" s="262"/>
      <c r="AL28" s="257"/>
      <c r="AM28" s="257"/>
      <c r="AN28" s="257"/>
      <c r="AO28" s="262"/>
    </row>
    <row r="29" spans="2:48" hidden="1">
      <c r="B29" s="338"/>
      <c r="C29" s="329" t="str">
        <f t="shared" si="30"/>
        <v>Unit 3</v>
      </c>
      <c r="D29" s="347">
        <v>10658000</v>
      </c>
      <c r="E29" s="342">
        <f t="shared" si="31"/>
        <v>142.4</v>
      </c>
      <c r="AH29" s="257"/>
      <c r="AI29" s="257"/>
      <c r="AJ29" s="257"/>
      <c r="AK29" s="262"/>
      <c r="AL29" s="260"/>
      <c r="AM29" s="257"/>
      <c r="AN29" s="257"/>
      <c r="AO29" s="262"/>
    </row>
    <row r="30" spans="2:48" hidden="1">
      <c r="B30" s="338"/>
      <c r="C30" s="329" t="str">
        <f t="shared" si="30"/>
        <v>Unit 4</v>
      </c>
      <c r="D30" s="347">
        <v>10550000</v>
      </c>
      <c r="E30" s="342">
        <f t="shared" si="31"/>
        <v>142.4</v>
      </c>
      <c r="AH30" s="257"/>
      <c r="AI30" s="257"/>
      <c r="AJ30" s="257"/>
      <c r="AK30" s="262"/>
      <c r="AL30" s="260"/>
      <c r="AM30" s="257"/>
      <c r="AN30" s="257"/>
      <c r="AO30" s="262"/>
    </row>
    <row r="31" spans="2:48" hidden="1">
      <c r="B31" s="338"/>
      <c r="C31" s="329" t="str">
        <f t="shared" si="30"/>
        <v>Unit 5</v>
      </c>
      <c r="D31" s="347">
        <v>10412000</v>
      </c>
      <c r="E31" s="342">
        <f t="shared" si="31"/>
        <v>142.44999999999999</v>
      </c>
      <c r="AH31" s="257"/>
      <c r="AI31" s="257"/>
      <c r="AJ31" s="257"/>
      <c r="AK31" s="262"/>
      <c r="AL31" s="260"/>
      <c r="AM31" s="257"/>
      <c r="AN31" s="257"/>
      <c r="AO31" s="262"/>
    </row>
    <row r="32" spans="2:48" hidden="1">
      <c r="B32" s="338"/>
      <c r="C32" s="329" t="str">
        <f t="shared" si="30"/>
        <v>Unit 6</v>
      </c>
      <c r="D32" s="347">
        <v>10286000</v>
      </c>
      <c r="E32" s="342">
        <f t="shared" si="31"/>
        <v>142.4</v>
      </c>
      <c r="AH32" s="257"/>
      <c r="AI32" s="257"/>
      <c r="AJ32" s="257"/>
      <c r="AK32" s="262"/>
      <c r="AL32" s="260"/>
      <c r="AM32" s="257"/>
      <c r="AN32" s="257"/>
      <c r="AO32" s="262"/>
    </row>
    <row r="33" spans="2:41" hidden="1">
      <c r="B33" s="338"/>
      <c r="C33" s="329" t="str">
        <f t="shared" si="30"/>
        <v>Unit 7</v>
      </c>
      <c r="D33" s="347">
        <v>10160000</v>
      </c>
      <c r="E33" s="342">
        <f t="shared" si="31"/>
        <v>142.4</v>
      </c>
      <c r="AH33" s="257"/>
      <c r="AI33" s="257"/>
      <c r="AJ33" s="257"/>
      <c r="AK33" s="262"/>
      <c r="AL33" s="260"/>
      <c r="AM33" s="257"/>
      <c r="AN33" s="257"/>
      <c r="AO33" s="262"/>
    </row>
    <row r="34" spans="2:41" hidden="1">
      <c r="B34" s="338"/>
      <c r="C34" s="329" t="str">
        <f t="shared" si="30"/>
        <v>Unit 8</v>
      </c>
      <c r="D34" s="347">
        <v>9944000</v>
      </c>
      <c r="E34" s="342">
        <f t="shared" si="31"/>
        <v>142.44999999999999</v>
      </c>
      <c r="AH34" s="257"/>
      <c r="AI34" s="257"/>
      <c r="AJ34" s="257"/>
      <c r="AK34" s="262"/>
      <c r="AL34" s="260"/>
      <c r="AM34" s="257"/>
      <c r="AN34" s="257"/>
      <c r="AO34" s="262"/>
    </row>
    <row r="35" spans="2:41" hidden="1">
      <c r="B35" s="338"/>
      <c r="C35" s="329" t="str">
        <f t="shared" si="30"/>
        <v>Unit 9</v>
      </c>
      <c r="D35" s="347">
        <v>9500000</v>
      </c>
      <c r="E35" s="342">
        <f t="shared" si="31"/>
        <v>142.4</v>
      </c>
      <c r="F35" s="326">
        <f>D35/E35</f>
        <v>66713.483146067418</v>
      </c>
      <c r="AH35" s="257"/>
      <c r="AI35" s="257"/>
      <c r="AJ35" s="257"/>
      <c r="AK35" s="262"/>
      <c r="AL35" s="260"/>
      <c r="AM35" s="257"/>
      <c r="AN35" s="257"/>
      <c r="AO35" s="262"/>
    </row>
    <row r="36" spans="2:41" hidden="1">
      <c r="B36" s="338"/>
      <c r="C36" s="329" t="e">
        <f>#REF!</f>
        <v>#REF!</v>
      </c>
      <c r="D36" s="347">
        <v>9500000</v>
      </c>
      <c r="E36" s="342" t="e">
        <f>#REF!</f>
        <v>#REF!</v>
      </c>
      <c r="AH36" s="257"/>
      <c r="AI36" s="257"/>
      <c r="AJ36" s="257"/>
      <c r="AK36" s="262"/>
      <c r="AL36" s="260"/>
      <c r="AM36" s="257"/>
      <c r="AN36" s="257"/>
      <c r="AO36" s="262"/>
    </row>
    <row r="37" spans="2:41" hidden="1">
      <c r="B37" s="340"/>
      <c r="C37" s="332" t="s">
        <v>63</v>
      </c>
      <c r="D37" s="348">
        <f>SUM(D27:D36)</f>
        <v>102164000</v>
      </c>
      <c r="E37" s="339"/>
      <c r="AM37" s="257"/>
      <c r="AN37" s="257"/>
      <c r="AO37" s="262"/>
    </row>
    <row r="38" spans="2:41" hidden="1">
      <c r="B38" s="338"/>
      <c r="C38" s="331"/>
      <c r="D38" s="349">
        <f>D37-N18</f>
        <v>101806100</v>
      </c>
      <c r="E38" s="330"/>
    </row>
    <row r="39" spans="2:41" hidden="1">
      <c r="B39" s="338"/>
      <c r="C39" s="331"/>
      <c r="D39" s="350">
        <f>D38/I18</f>
        <v>79427.423444509463</v>
      </c>
      <c r="E39" s="339"/>
    </row>
    <row r="40" spans="2:41" hidden="1">
      <c r="B40" s="338"/>
      <c r="C40" s="331"/>
      <c r="D40" s="338"/>
      <c r="E40" s="339"/>
    </row>
  </sheetData>
  <sheetProtection algorithmName="SHA-512" hashValue="3pp3jKMZfgWTXWEBFoklh8sNTGabIxXS38VnV79fiNg41AkNKOeT8zEyNoTiEcsS+vD2CMcB85n/W5UkX5j8mw==" saltValue="9tQLHmPMM1fQDmlRkgYqYw==" spinCount="100000" sheet="1" selectLockedCells="1" selectUnlockedCells="1"/>
  <autoFilter ref="A8:AX18" xr:uid="{D46CFDFD-40A4-47A2-A0E6-3444B05EF87A}">
    <filterColumn colId="3">
      <filters>
        <filter val="Unsold"/>
      </filters>
    </filterColumn>
  </autoFilter>
  <mergeCells count="27">
    <mergeCell ref="B7:B8"/>
    <mergeCell ref="C7:C8"/>
    <mergeCell ref="D7:D8"/>
    <mergeCell ref="E7:E8"/>
    <mergeCell ref="F7:F8"/>
    <mergeCell ref="G7:G8"/>
    <mergeCell ref="H7:H8"/>
    <mergeCell ref="I7:I8"/>
    <mergeCell ref="Q7:Q8"/>
    <mergeCell ref="AC7:AC8"/>
    <mergeCell ref="J7:J8"/>
    <mergeCell ref="N7:N8"/>
    <mergeCell ref="O7:O8"/>
    <mergeCell ref="K7:K8"/>
    <mergeCell ref="P7:P8"/>
    <mergeCell ref="S7:S8"/>
    <mergeCell ref="U7:U8"/>
    <mergeCell ref="AQ7:AU7"/>
    <mergeCell ref="W7:W8"/>
    <mergeCell ref="Y7:Y8"/>
    <mergeCell ref="AA7:AA8"/>
    <mergeCell ref="AF7:AF8"/>
    <mergeCell ref="AH7:AH8"/>
    <mergeCell ref="AK7:AK8"/>
    <mergeCell ref="AL7:AL8"/>
    <mergeCell ref="AN7:AP7"/>
    <mergeCell ref="AI7:AI8"/>
  </mergeCells>
  <phoneticPr fontId="13" type="noConversion"/>
  <pageMargins left="0.23622047244094491" right="0.23622047244094491" top="0.74803149606299213" bottom="0.74803149606299213" header="0.31496062992125984" footer="0.31496062992125984"/>
  <pageSetup paperSize="5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65D1-12A0-4DEC-952C-148DBCE36B88}">
  <sheetPr codeName="Sheet9">
    <pageSetUpPr fitToPage="1"/>
  </sheetPr>
  <dimension ref="A1:AK41"/>
  <sheetViews>
    <sheetView topLeftCell="AI1" zoomScale="90" zoomScaleNormal="90" workbookViewId="0">
      <selection activeCell="C1" sqref="C1:AH1048576"/>
    </sheetView>
  </sheetViews>
  <sheetFormatPr defaultColWidth="8.85546875" defaultRowHeight="12.75"/>
  <cols>
    <col min="1" max="1" width="1.7109375" style="228" hidden="1" customWidth="1"/>
    <col min="2" max="2" width="9.7109375" style="224" hidden="1" customWidth="1"/>
    <col min="3" max="4" width="10" style="228" hidden="1" customWidth="1"/>
    <col min="5" max="5" width="10" style="227" hidden="1" customWidth="1"/>
    <col min="6" max="6" width="10" style="224" hidden="1" customWidth="1"/>
    <col min="7" max="8" width="10" style="227" hidden="1" customWidth="1"/>
    <col min="9" max="9" width="9.5703125" style="228" hidden="1" customWidth="1"/>
    <col min="10" max="10" width="8.140625" style="228" hidden="1" customWidth="1"/>
    <col min="11" max="11" width="7.28515625" style="224" hidden="1" customWidth="1"/>
    <col min="12" max="12" width="14.7109375" style="228" hidden="1" customWidth="1"/>
    <col min="13" max="13" width="12.7109375" style="228" hidden="1" customWidth="1"/>
    <col min="14" max="14" width="12.28515625" style="228" hidden="1" customWidth="1"/>
    <col min="15" max="16" width="14.7109375" style="228" hidden="1" customWidth="1"/>
    <col min="17" max="17" width="13.28515625" style="228" hidden="1" customWidth="1"/>
    <col min="18" max="18" width="14.28515625" style="228" hidden="1" customWidth="1"/>
    <col min="19" max="19" width="12.42578125" style="344" hidden="1" customWidth="1"/>
    <col min="20" max="20" width="9.7109375" style="227" hidden="1" customWidth="1"/>
    <col min="21" max="21" width="12.42578125" style="227" hidden="1" customWidth="1"/>
    <col min="22" max="22" width="10.140625" style="227" hidden="1" customWidth="1"/>
    <col min="23" max="23" width="12.42578125" style="227" hidden="1" customWidth="1"/>
    <col min="24" max="24" width="9.7109375" style="227" hidden="1" customWidth="1"/>
    <col min="25" max="25" width="13" style="227" hidden="1" customWidth="1"/>
    <col min="26" max="26" width="14.140625" style="228" hidden="1" customWidth="1"/>
    <col min="27" max="27" width="15.5703125" style="228" hidden="1" customWidth="1"/>
    <col min="28" max="28" width="14.28515625" style="228" hidden="1" customWidth="1"/>
    <col min="29" max="30" width="13.28515625" style="228" hidden="1" customWidth="1"/>
    <col min="31" max="31" width="14.42578125" style="228" hidden="1" customWidth="1"/>
    <col min="32" max="32" width="11.42578125" style="228" hidden="1" customWidth="1"/>
    <col min="33" max="33" width="14.28515625" style="228" hidden="1" customWidth="1"/>
    <col min="34" max="34" width="8.85546875" style="228" hidden="1" customWidth="1"/>
    <col min="35" max="41" width="8.85546875" style="228" customWidth="1"/>
    <col min="42" max="16384" width="8.85546875" style="228"/>
  </cols>
  <sheetData>
    <row r="1" spans="2:37" s="325" customFormat="1">
      <c r="B1" s="233"/>
      <c r="C1" s="424">
        <v>1</v>
      </c>
      <c r="D1" s="425">
        <f>C1+1</f>
        <v>2</v>
      </c>
      <c r="E1" s="425">
        <f t="shared" ref="E1:AE1" si="0">D1+1</f>
        <v>3</v>
      </c>
      <c r="F1" s="425">
        <f t="shared" si="0"/>
        <v>4</v>
      </c>
      <c r="G1" s="425">
        <f t="shared" si="0"/>
        <v>5</v>
      </c>
      <c r="H1" s="425">
        <f t="shared" si="0"/>
        <v>6</v>
      </c>
      <c r="I1" s="425">
        <f t="shared" si="0"/>
        <v>7</v>
      </c>
      <c r="J1" s="425">
        <f t="shared" si="0"/>
        <v>8</v>
      </c>
      <c r="K1" s="425">
        <f t="shared" si="0"/>
        <v>9</v>
      </c>
      <c r="L1" s="425" t="e">
        <f>#REF!+1</f>
        <v>#REF!</v>
      </c>
      <c r="M1" s="425" t="e">
        <f t="shared" si="0"/>
        <v>#REF!</v>
      </c>
      <c r="N1" s="425" t="e">
        <f t="shared" si="0"/>
        <v>#REF!</v>
      </c>
      <c r="O1" s="425" t="e">
        <f t="shared" si="0"/>
        <v>#REF!</v>
      </c>
      <c r="P1" s="425" t="e">
        <f t="shared" si="0"/>
        <v>#REF!</v>
      </c>
      <c r="Q1" s="425" t="e">
        <f t="shared" si="0"/>
        <v>#REF!</v>
      </c>
      <c r="R1" s="425" t="e">
        <f t="shared" si="0"/>
        <v>#REF!</v>
      </c>
      <c r="S1" s="328"/>
      <c r="T1" s="425">
        <f t="shared" si="0"/>
        <v>1</v>
      </c>
      <c r="U1" s="425">
        <f t="shared" si="0"/>
        <v>2</v>
      </c>
      <c r="V1" s="425">
        <f t="shared" si="0"/>
        <v>3</v>
      </c>
      <c r="W1" s="425">
        <f t="shared" si="0"/>
        <v>4</v>
      </c>
      <c r="X1" s="425">
        <f t="shared" si="0"/>
        <v>5</v>
      </c>
      <c r="Y1" s="425">
        <f t="shared" si="0"/>
        <v>6</v>
      </c>
      <c r="Z1" s="425">
        <f t="shared" si="0"/>
        <v>7</v>
      </c>
      <c r="AA1" s="425">
        <f t="shared" si="0"/>
        <v>8</v>
      </c>
      <c r="AB1" s="425">
        <f t="shared" si="0"/>
        <v>9</v>
      </c>
      <c r="AC1" s="425">
        <f t="shared" si="0"/>
        <v>10</v>
      </c>
      <c r="AD1" s="425">
        <f t="shared" si="0"/>
        <v>11</v>
      </c>
      <c r="AE1" s="425">
        <f t="shared" si="0"/>
        <v>12</v>
      </c>
      <c r="AF1" s="233"/>
      <c r="AG1" s="233"/>
      <c r="AH1" s="233"/>
      <c r="AI1" s="233"/>
      <c r="AJ1" s="233"/>
      <c r="AK1" s="233"/>
    </row>
    <row r="2" spans="2:37">
      <c r="C2" s="225"/>
      <c r="D2" s="224"/>
      <c r="E2" s="226"/>
      <c r="G2" s="226"/>
      <c r="S2" s="226"/>
    </row>
    <row r="3" spans="2:37">
      <c r="C3" s="225"/>
      <c r="D3" s="451" t="s">
        <v>64</v>
      </c>
      <c r="E3" s="451"/>
      <c r="F3" s="451"/>
      <c r="G3" s="451"/>
      <c r="H3" s="451"/>
      <c r="I3" s="451"/>
      <c r="J3" s="451"/>
      <c r="K3" s="451"/>
      <c r="L3" s="451"/>
      <c r="S3" s="226"/>
    </row>
    <row r="4" spans="2:37">
      <c r="C4" s="225"/>
      <c r="D4" s="224"/>
      <c r="E4" s="226"/>
      <c r="G4" s="226"/>
      <c r="H4" s="451" t="s">
        <v>65</v>
      </c>
      <c r="I4" s="451"/>
      <c r="J4" s="451"/>
      <c r="K4" s="451"/>
      <c r="L4" s="451"/>
      <c r="M4" s="451"/>
      <c r="N4" s="451"/>
      <c r="O4" s="451"/>
      <c r="P4" s="451"/>
      <c r="S4" s="226"/>
    </row>
    <row r="5" spans="2:37">
      <c r="C5" s="225"/>
      <c r="D5" s="224"/>
      <c r="E5" s="226"/>
      <c r="G5" s="226"/>
      <c r="H5" s="230">
        <f ca="1">NOW()</f>
        <v>45849.956438310182</v>
      </c>
      <c r="S5" s="226"/>
      <c r="AB5" s="224"/>
      <c r="AC5" s="224"/>
      <c r="AD5" s="224"/>
    </row>
    <row r="6" spans="2:37">
      <c r="B6" s="225"/>
      <c r="S6" s="226"/>
      <c r="AB6" s="233">
        <v>1.1610847921862405E-2</v>
      </c>
      <c r="AC6" s="233">
        <v>8.988282708524269E-3</v>
      </c>
      <c r="AD6" s="233">
        <v>7.7529893561887461E-3</v>
      </c>
      <c r="AE6" s="234">
        <v>2.1247044711268277E-2</v>
      </c>
    </row>
    <row r="7" spans="2:37" s="237" customFormat="1" ht="38.25">
      <c r="B7" s="438" t="s">
        <v>2</v>
      </c>
      <c r="C7" s="446" t="s">
        <v>3</v>
      </c>
      <c r="D7" s="431" t="s">
        <v>4</v>
      </c>
      <c r="E7" s="446" t="s">
        <v>5</v>
      </c>
      <c r="F7" s="446" t="s">
        <v>6</v>
      </c>
      <c r="G7" s="431" t="s">
        <v>7</v>
      </c>
      <c r="H7" s="431" t="s">
        <v>8</v>
      </c>
      <c r="I7" s="431" t="s">
        <v>9</v>
      </c>
      <c r="J7" s="431" t="s">
        <v>66</v>
      </c>
      <c r="K7" s="444" t="s">
        <v>10</v>
      </c>
      <c r="L7" s="441" t="s">
        <v>16</v>
      </c>
      <c r="M7" s="266">
        <v>7.0000000000000007E-2</v>
      </c>
      <c r="N7" s="267">
        <v>0</v>
      </c>
      <c r="O7" s="431" t="s">
        <v>17</v>
      </c>
      <c r="P7" s="265">
        <v>0.2</v>
      </c>
      <c r="Q7" s="432" t="s">
        <v>18</v>
      </c>
      <c r="R7" s="433" t="s">
        <v>19</v>
      </c>
      <c r="S7" s="448" t="s">
        <v>67</v>
      </c>
      <c r="T7" s="450" t="s">
        <v>68</v>
      </c>
      <c r="U7" s="450"/>
      <c r="V7" s="450"/>
      <c r="W7" s="450"/>
      <c r="X7" s="450"/>
      <c r="Y7" s="450"/>
      <c r="Z7" s="433" t="s">
        <v>21</v>
      </c>
      <c r="AA7" s="268">
        <f>100%-P7</f>
        <v>0.8</v>
      </c>
      <c r="AB7" s="435" t="s">
        <v>22</v>
      </c>
      <c r="AC7" s="436"/>
      <c r="AD7" s="437"/>
      <c r="AE7" s="236" t="s">
        <v>24</v>
      </c>
    </row>
    <row r="8" spans="2:37" s="243" customFormat="1" ht="50.45" customHeight="1">
      <c r="B8" s="438"/>
      <c r="C8" s="446"/>
      <c r="D8" s="431"/>
      <c r="E8" s="446"/>
      <c r="F8" s="446"/>
      <c r="G8" s="431"/>
      <c r="H8" s="431"/>
      <c r="I8" s="431"/>
      <c r="J8" s="431"/>
      <c r="K8" s="445"/>
      <c r="L8" s="441"/>
      <c r="M8" s="269" t="s">
        <v>31</v>
      </c>
      <c r="N8" s="264" t="s">
        <v>32</v>
      </c>
      <c r="O8" s="431"/>
      <c r="P8" s="264" t="s">
        <v>34</v>
      </c>
      <c r="Q8" s="432"/>
      <c r="R8" s="434"/>
      <c r="S8" s="449"/>
      <c r="T8" s="271" t="s">
        <v>69</v>
      </c>
      <c r="U8" s="271" t="s">
        <v>70</v>
      </c>
      <c r="V8" s="271" t="s">
        <v>69</v>
      </c>
      <c r="W8" s="271" t="s">
        <v>70</v>
      </c>
      <c r="X8" s="271" t="s">
        <v>69</v>
      </c>
      <c r="Y8" s="271" t="s">
        <v>70</v>
      </c>
      <c r="Z8" s="434"/>
      <c r="AA8" s="264" t="s">
        <v>35</v>
      </c>
      <c r="AB8" s="270" t="s">
        <v>36</v>
      </c>
      <c r="AC8" s="270" t="s">
        <v>37</v>
      </c>
      <c r="AD8" s="270" t="s">
        <v>38</v>
      </c>
      <c r="AE8" s="274" t="s">
        <v>41</v>
      </c>
    </row>
    <row r="9" spans="2:37" s="250" customFormat="1">
      <c r="B9" s="244">
        <v>1</v>
      </c>
      <c r="C9" s="245" t="str">
        <f>'Pricelist Standard'!C9</f>
        <v>Unit 1</v>
      </c>
      <c r="D9" s="246" t="s">
        <v>47</v>
      </c>
      <c r="E9" s="245" t="str">
        <f>'Pricelist Standard'!E9</f>
        <v>End Lot</v>
      </c>
      <c r="F9" s="244"/>
      <c r="G9" s="245"/>
      <c r="H9" s="245" t="str">
        <f>'Pricelist Standard'!H9</f>
        <v>2 Storey</v>
      </c>
      <c r="I9" s="247">
        <f>'Pricelist Standard'!I9</f>
        <v>142.4</v>
      </c>
      <c r="J9" s="247">
        <f>'Pricelist Standard'!J9</f>
        <v>80</v>
      </c>
      <c r="K9" s="247">
        <f>'Pricelist Standard'!K9</f>
        <v>99.4</v>
      </c>
      <c r="L9" s="248">
        <f>'Pricelist Standard'!AC9</f>
        <v>8958200</v>
      </c>
      <c r="M9" s="248">
        <f>L9*$M$7</f>
        <v>627074.00000000012</v>
      </c>
      <c r="N9" s="248">
        <f>L9*$N$7</f>
        <v>0</v>
      </c>
      <c r="O9" s="248">
        <f>L9+M9+N9</f>
        <v>9585274</v>
      </c>
      <c r="P9" s="248">
        <f t="shared" ref="P9:P17" si="1">O9*$P$7</f>
        <v>1917054.8</v>
      </c>
      <c r="Q9" s="248">
        <v>50000</v>
      </c>
      <c r="R9" s="248">
        <f>P9-Q9</f>
        <v>1867054.8</v>
      </c>
      <c r="S9" s="426">
        <v>15</v>
      </c>
      <c r="T9" s="249">
        <v>7</v>
      </c>
      <c r="U9" s="245">
        <f>(R9*25%)/T9</f>
        <v>66680.528571428571</v>
      </c>
      <c r="V9" s="273">
        <f>T9</f>
        <v>7</v>
      </c>
      <c r="W9" s="245">
        <f>(R9*35%)/V9</f>
        <v>93352.739999999991</v>
      </c>
      <c r="X9" s="249">
        <v>6</v>
      </c>
      <c r="Y9" s="245">
        <f>(R9*40%)/X9</f>
        <v>124470.32</v>
      </c>
      <c r="Z9" s="248">
        <f>R9/S9</f>
        <v>124470.32</v>
      </c>
      <c r="AA9" s="248">
        <f>O9*$AA$7</f>
        <v>7668219.2000000002</v>
      </c>
      <c r="AB9" s="248">
        <f>AA9*$AB$6</f>
        <v>89034.526962705393</v>
      </c>
      <c r="AC9" s="248">
        <f t="shared" ref="AC9:AC17" si="2">AA9*$AC$6</f>
        <v>68924.12204053381</v>
      </c>
      <c r="AD9" s="248">
        <f t="shared" ref="AD9:AD17" si="3">AA9*$AD$6</f>
        <v>59451.62183852218</v>
      </c>
      <c r="AE9" s="248">
        <f>AA9*$AE$6</f>
        <v>162926.99619820586</v>
      </c>
      <c r="AG9" s="250">
        <f>(Y9*X9)+(W9*V9)+(U9*T9)+Q9-P9</f>
        <v>0</v>
      </c>
      <c r="AH9" s="257">
        <f>S9-T9-V9-X9</f>
        <v>-5</v>
      </c>
      <c r="AI9" s="272"/>
      <c r="AJ9" s="272"/>
      <c r="AK9" s="272"/>
    </row>
    <row r="10" spans="2:37" s="250" customFormat="1">
      <c r="B10" s="244">
        <f>B9+1</f>
        <v>2</v>
      </c>
      <c r="C10" s="245" t="str">
        <f>'Pricelist Standard'!C10</f>
        <v>Unit 2</v>
      </c>
      <c r="D10" s="246" t="s">
        <v>47</v>
      </c>
      <c r="E10" s="245" t="str">
        <f>'Pricelist Standard'!E10</f>
        <v>Inner</v>
      </c>
      <c r="F10" s="244"/>
      <c r="G10" s="245"/>
      <c r="H10" s="245" t="str">
        <f>'Pricelist Standard'!H10</f>
        <v>2 Storey</v>
      </c>
      <c r="I10" s="247">
        <f>'Pricelist Standard'!I10</f>
        <v>142.44999999999999</v>
      </c>
      <c r="J10" s="247">
        <f>'Pricelist Standard'!J10</f>
        <v>80</v>
      </c>
      <c r="K10" s="247">
        <f>'Pricelist Standard'!K10</f>
        <v>100.9</v>
      </c>
      <c r="L10" s="248">
        <f>'Pricelist Standard'!AC10</f>
        <v>8962700</v>
      </c>
      <c r="M10" s="248">
        <f t="shared" ref="M10:M17" si="4">L10*$M$7</f>
        <v>627389.00000000012</v>
      </c>
      <c r="N10" s="248">
        <f t="shared" ref="N10:N18" si="5">L10*$N$7</f>
        <v>0</v>
      </c>
      <c r="O10" s="248">
        <f t="shared" ref="O10:O17" si="6">L10+M10+N10</f>
        <v>9590089</v>
      </c>
      <c r="P10" s="248">
        <f t="shared" si="1"/>
        <v>1918017.8</v>
      </c>
      <c r="Q10" s="248">
        <v>50000</v>
      </c>
      <c r="R10" s="248">
        <f t="shared" ref="R10:R17" si="7">P10-Q10</f>
        <v>1868017.8</v>
      </c>
      <c r="S10" s="426">
        <v>18</v>
      </c>
      <c r="T10" s="249">
        <v>7</v>
      </c>
      <c r="U10" s="245">
        <f t="shared" ref="U10:U17" si="8">(R10*25%)/T10</f>
        <v>66714.921428571426</v>
      </c>
      <c r="V10" s="273">
        <f t="shared" ref="V10:V17" si="9">T10</f>
        <v>7</v>
      </c>
      <c r="W10" s="245">
        <f t="shared" ref="W10:W17" si="10">(R10*35%)/V10</f>
        <v>93400.89</v>
      </c>
      <c r="X10" s="249">
        <v>6</v>
      </c>
      <c r="Y10" s="245">
        <f t="shared" ref="Y10:Y17" si="11">(R10*40%)/X10</f>
        <v>124534.52000000002</v>
      </c>
      <c r="Z10" s="248">
        <f t="shared" ref="Z10:Z17" si="12">R10/S10</f>
        <v>103778.76666666666</v>
      </c>
      <c r="AA10" s="248">
        <f t="shared" ref="AA10:AA17" si="13">O10*$AA$7</f>
        <v>7672071.2000000002</v>
      </c>
      <c r="AB10" s="248">
        <f t="shared" ref="AB10:AB17" si="14">AA10*$AB$6</f>
        <v>89079.251948900404</v>
      </c>
      <c r="AC10" s="248">
        <f t="shared" si="2"/>
        <v>68958.744905527041</v>
      </c>
      <c r="AD10" s="248">
        <f t="shared" si="3"/>
        <v>59481.486353522225</v>
      </c>
      <c r="AE10" s="248">
        <f t="shared" ref="AE10:AE17" si="15">AA10*$AE$6</f>
        <v>163008.83981443365</v>
      </c>
      <c r="AG10" s="250">
        <f t="shared" ref="AG10:AG18" si="16">(Y10*X10)+(W10*V10)+(U10*T10)+Q10-P10</f>
        <v>0</v>
      </c>
      <c r="AH10" s="257">
        <f t="shared" ref="AH10:AH18" si="17">S10-T10-V10-X10</f>
        <v>-2</v>
      </c>
    </row>
    <row r="11" spans="2:37" s="250" customFormat="1">
      <c r="B11" s="244">
        <f t="shared" ref="B11:B18" si="18">B10+1</f>
        <v>3</v>
      </c>
      <c r="C11" s="245" t="str">
        <f>'Pricelist Standard'!C11</f>
        <v>Unit 3</v>
      </c>
      <c r="D11" s="246" t="s">
        <v>47</v>
      </c>
      <c r="E11" s="245" t="str">
        <f>'Pricelist Standard'!E11</f>
        <v>Inner</v>
      </c>
      <c r="F11" s="244"/>
      <c r="G11" s="245"/>
      <c r="H11" s="245" t="str">
        <f>'Pricelist Standard'!H11</f>
        <v>2 Storey</v>
      </c>
      <c r="I11" s="247">
        <f>'Pricelist Standard'!I11</f>
        <v>142.4</v>
      </c>
      <c r="J11" s="247">
        <f>'Pricelist Standard'!J11</f>
        <v>80</v>
      </c>
      <c r="K11" s="247">
        <f>'Pricelist Standard'!K11</f>
        <v>101.1</v>
      </c>
      <c r="L11" s="248">
        <f>'Pricelist Standard'!AC11</f>
        <v>8963300</v>
      </c>
      <c r="M11" s="248">
        <f t="shared" si="4"/>
        <v>627431.00000000012</v>
      </c>
      <c r="N11" s="248">
        <f t="shared" si="5"/>
        <v>0</v>
      </c>
      <c r="O11" s="248">
        <f t="shared" si="6"/>
        <v>9590731</v>
      </c>
      <c r="P11" s="248">
        <f t="shared" si="1"/>
        <v>1918146.2000000002</v>
      </c>
      <c r="Q11" s="248">
        <v>50000</v>
      </c>
      <c r="R11" s="248">
        <f t="shared" si="7"/>
        <v>1868146.2000000002</v>
      </c>
      <c r="S11" s="426">
        <v>18</v>
      </c>
      <c r="T11" s="249">
        <v>7</v>
      </c>
      <c r="U11" s="245">
        <f t="shared" si="8"/>
        <v>66719.507142857154</v>
      </c>
      <c r="V11" s="273">
        <f t="shared" si="9"/>
        <v>7</v>
      </c>
      <c r="W11" s="245">
        <f t="shared" si="10"/>
        <v>93407.310000000012</v>
      </c>
      <c r="X11" s="249">
        <v>6</v>
      </c>
      <c r="Y11" s="245">
        <f t="shared" si="11"/>
        <v>124543.08000000002</v>
      </c>
      <c r="Z11" s="248">
        <f t="shared" si="12"/>
        <v>103785.90000000001</v>
      </c>
      <c r="AA11" s="248">
        <f t="shared" si="13"/>
        <v>7672584.8000000007</v>
      </c>
      <c r="AB11" s="248">
        <f t="shared" si="14"/>
        <v>89085.21528039308</v>
      </c>
      <c r="AC11" s="248">
        <f t="shared" si="2"/>
        <v>68963.361287526146</v>
      </c>
      <c r="AD11" s="248">
        <f t="shared" si="3"/>
        <v>59485.468288855562</v>
      </c>
      <c r="AE11" s="248">
        <f t="shared" si="15"/>
        <v>163019.75229659738</v>
      </c>
      <c r="AG11" s="250">
        <f t="shared" si="16"/>
        <v>0</v>
      </c>
      <c r="AH11" s="257">
        <f t="shared" si="17"/>
        <v>-2</v>
      </c>
    </row>
    <row r="12" spans="2:37" s="250" customFormat="1">
      <c r="B12" s="244">
        <f t="shared" si="18"/>
        <v>4</v>
      </c>
      <c r="C12" s="245" t="str">
        <f>'Pricelist Standard'!C12</f>
        <v>Unit 4</v>
      </c>
      <c r="D12" s="246" t="s">
        <v>47</v>
      </c>
      <c r="E12" s="245" t="str">
        <f>'Pricelist Standard'!E12</f>
        <v>Inner</v>
      </c>
      <c r="F12" s="244"/>
      <c r="G12" s="245"/>
      <c r="H12" s="245" t="str">
        <f>'Pricelist Standard'!H12</f>
        <v>2 Storey</v>
      </c>
      <c r="I12" s="247">
        <f>'Pricelist Standard'!I12</f>
        <v>142.4</v>
      </c>
      <c r="J12" s="247">
        <f>'Pricelist Standard'!J12</f>
        <v>80</v>
      </c>
      <c r="K12" s="247">
        <f>'Pricelist Standard'!K12</f>
        <v>98.4</v>
      </c>
      <c r="L12" s="248">
        <f>'Pricelist Standard'!AC12</f>
        <v>8955200</v>
      </c>
      <c r="M12" s="248">
        <f t="shared" si="4"/>
        <v>626864.00000000012</v>
      </c>
      <c r="N12" s="248">
        <f t="shared" si="5"/>
        <v>0</v>
      </c>
      <c r="O12" s="248">
        <f t="shared" si="6"/>
        <v>9582064</v>
      </c>
      <c r="P12" s="248">
        <f t="shared" si="1"/>
        <v>1916412.8</v>
      </c>
      <c r="Q12" s="248">
        <v>50000</v>
      </c>
      <c r="R12" s="248">
        <f t="shared" si="7"/>
        <v>1866412.8</v>
      </c>
      <c r="S12" s="426">
        <v>18</v>
      </c>
      <c r="T12" s="249">
        <v>7</v>
      </c>
      <c r="U12" s="245">
        <f t="shared" si="8"/>
        <v>66657.600000000006</v>
      </c>
      <c r="V12" s="273">
        <f t="shared" si="9"/>
        <v>7</v>
      </c>
      <c r="W12" s="245">
        <f t="shared" si="10"/>
        <v>93320.639999999999</v>
      </c>
      <c r="X12" s="249">
        <v>6</v>
      </c>
      <c r="Y12" s="245">
        <f t="shared" si="11"/>
        <v>124427.52000000002</v>
      </c>
      <c r="Z12" s="248">
        <f t="shared" si="12"/>
        <v>103689.60000000001</v>
      </c>
      <c r="AA12" s="248">
        <f t="shared" si="13"/>
        <v>7665651.2000000002</v>
      </c>
      <c r="AB12" s="248">
        <f t="shared" si="14"/>
        <v>89004.710305242057</v>
      </c>
      <c r="AC12" s="248">
        <f t="shared" si="2"/>
        <v>68901.040130538313</v>
      </c>
      <c r="AD12" s="248">
        <f t="shared" si="3"/>
        <v>59431.712161855488</v>
      </c>
      <c r="AE12" s="248">
        <f t="shared" si="15"/>
        <v>162872.43378738733</v>
      </c>
      <c r="AG12" s="250">
        <f t="shared" si="16"/>
        <v>0</v>
      </c>
      <c r="AH12" s="257">
        <f t="shared" si="17"/>
        <v>-2</v>
      </c>
    </row>
    <row r="13" spans="2:37" s="250" customFormat="1">
      <c r="B13" s="244">
        <f t="shared" si="18"/>
        <v>5</v>
      </c>
      <c r="C13" s="245" t="str">
        <f>'Pricelist Standard'!C13</f>
        <v>Unit 5</v>
      </c>
      <c r="D13" s="246" t="s">
        <v>47</v>
      </c>
      <c r="E13" s="245" t="str">
        <f>'Pricelist Standard'!E13</f>
        <v>Inner</v>
      </c>
      <c r="F13" s="244"/>
      <c r="G13" s="245"/>
      <c r="H13" s="245" t="str">
        <f>'Pricelist Standard'!H13</f>
        <v>2 Storey</v>
      </c>
      <c r="I13" s="247">
        <f>'Pricelist Standard'!I13</f>
        <v>142.44999999999999</v>
      </c>
      <c r="J13" s="247">
        <f>'Pricelist Standard'!J13</f>
        <v>80</v>
      </c>
      <c r="K13" s="247">
        <f>'Pricelist Standard'!K13</f>
        <v>95.8</v>
      </c>
      <c r="L13" s="248">
        <f>'Pricelist Standard'!AC13</f>
        <v>8947400</v>
      </c>
      <c r="M13" s="248">
        <f t="shared" si="4"/>
        <v>626318.00000000012</v>
      </c>
      <c r="N13" s="248">
        <f t="shared" si="5"/>
        <v>0</v>
      </c>
      <c r="O13" s="248">
        <f t="shared" si="6"/>
        <v>9573718</v>
      </c>
      <c r="P13" s="248">
        <f t="shared" si="1"/>
        <v>1914743.6</v>
      </c>
      <c r="Q13" s="248">
        <v>50000</v>
      </c>
      <c r="R13" s="248">
        <f t="shared" si="7"/>
        <v>1864743.6</v>
      </c>
      <c r="S13" s="426">
        <v>21</v>
      </c>
      <c r="T13" s="249">
        <v>7</v>
      </c>
      <c r="U13" s="245">
        <f t="shared" si="8"/>
        <v>66597.985714285722</v>
      </c>
      <c r="V13" s="273">
        <f t="shared" si="9"/>
        <v>7</v>
      </c>
      <c r="W13" s="245">
        <f t="shared" si="10"/>
        <v>93237.180000000008</v>
      </c>
      <c r="X13" s="249">
        <v>7</v>
      </c>
      <c r="Y13" s="245">
        <f t="shared" si="11"/>
        <v>106556.77714285716</v>
      </c>
      <c r="Z13" s="248">
        <f t="shared" si="12"/>
        <v>88797.314285714296</v>
      </c>
      <c r="AA13" s="248">
        <f t="shared" si="13"/>
        <v>7658974.4000000004</v>
      </c>
      <c r="AB13" s="248">
        <f t="shared" si="14"/>
        <v>88927.186995837357</v>
      </c>
      <c r="AC13" s="248">
        <f t="shared" si="2"/>
        <v>68841.027164550047</v>
      </c>
      <c r="AD13" s="248">
        <f t="shared" si="3"/>
        <v>59379.947002522094</v>
      </c>
      <c r="AE13" s="248">
        <f t="shared" si="15"/>
        <v>162730.57151925913</v>
      </c>
      <c r="AG13" s="250">
        <f t="shared" si="16"/>
        <v>0</v>
      </c>
      <c r="AH13" s="257">
        <f t="shared" si="17"/>
        <v>0</v>
      </c>
    </row>
    <row r="14" spans="2:37" s="250" customFormat="1">
      <c r="B14" s="244">
        <f t="shared" si="18"/>
        <v>6</v>
      </c>
      <c r="C14" s="245" t="str">
        <f>'Pricelist Standard'!C14</f>
        <v>Unit 6</v>
      </c>
      <c r="D14" s="246" t="s">
        <v>47</v>
      </c>
      <c r="E14" s="245" t="str">
        <f>'Pricelist Standard'!E14</f>
        <v>Inner</v>
      </c>
      <c r="F14" s="244"/>
      <c r="G14" s="245"/>
      <c r="H14" s="245" t="str">
        <f>'Pricelist Standard'!H14</f>
        <v>2 Storey</v>
      </c>
      <c r="I14" s="247">
        <f>'Pricelist Standard'!I14</f>
        <v>142.4</v>
      </c>
      <c r="J14" s="247">
        <f>'Pricelist Standard'!J14</f>
        <v>80</v>
      </c>
      <c r="K14" s="247">
        <f>'Pricelist Standard'!K14</f>
        <v>93.2</v>
      </c>
      <c r="L14" s="248">
        <f>'Pricelist Standard'!AC14</f>
        <v>8939600</v>
      </c>
      <c r="M14" s="248">
        <f t="shared" si="4"/>
        <v>625772.00000000012</v>
      </c>
      <c r="N14" s="248">
        <f t="shared" si="5"/>
        <v>0</v>
      </c>
      <c r="O14" s="248">
        <f t="shared" si="6"/>
        <v>9565372</v>
      </c>
      <c r="P14" s="248">
        <f t="shared" si="1"/>
        <v>1913074.4000000001</v>
      </c>
      <c r="Q14" s="248">
        <v>50000</v>
      </c>
      <c r="R14" s="248">
        <f t="shared" si="7"/>
        <v>1863074.4000000001</v>
      </c>
      <c r="S14" s="426">
        <v>21</v>
      </c>
      <c r="T14" s="249">
        <v>7</v>
      </c>
      <c r="U14" s="245">
        <f t="shared" si="8"/>
        <v>66538.371428571438</v>
      </c>
      <c r="V14" s="273">
        <f t="shared" si="9"/>
        <v>7</v>
      </c>
      <c r="W14" s="245">
        <f t="shared" si="10"/>
        <v>93153.72</v>
      </c>
      <c r="X14" s="249">
        <v>7</v>
      </c>
      <c r="Y14" s="245">
        <f t="shared" si="11"/>
        <v>106461.3942857143</v>
      </c>
      <c r="Z14" s="248">
        <f t="shared" si="12"/>
        <v>88717.828571428574</v>
      </c>
      <c r="AA14" s="248">
        <f t="shared" si="13"/>
        <v>7652297.6000000006</v>
      </c>
      <c r="AB14" s="248">
        <f t="shared" si="14"/>
        <v>88849.663686432672</v>
      </c>
      <c r="AC14" s="248">
        <f t="shared" si="2"/>
        <v>68781.014198561767</v>
      </c>
      <c r="AD14" s="248">
        <f t="shared" si="3"/>
        <v>59328.181843188693</v>
      </c>
      <c r="AE14" s="248">
        <f t="shared" si="15"/>
        <v>162588.70925113093</v>
      </c>
      <c r="AG14" s="250">
        <f t="shared" si="16"/>
        <v>0</v>
      </c>
      <c r="AH14" s="257">
        <f t="shared" si="17"/>
        <v>0</v>
      </c>
    </row>
    <row r="15" spans="2:37" s="250" customFormat="1">
      <c r="B15" s="244">
        <f t="shared" si="18"/>
        <v>7</v>
      </c>
      <c r="C15" s="245" t="str">
        <f>'Pricelist Standard'!C15</f>
        <v>Unit 7</v>
      </c>
      <c r="D15" s="246" t="s">
        <v>47</v>
      </c>
      <c r="E15" s="245" t="str">
        <f>'Pricelist Standard'!E15</f>
        <v>Inner</v>
      </c>
      <c r="F15" s="244"/>
      <c r="G15" s="245"/>
      <c r="H15" s="245" t="str">
        <f>'Pricelist Standard'!H15</f>
        <v>2 Storey</v>
      </c>
      <c r="I15" s="247">
        <f>'Pricelist Standard'!I15</f>
        <v>142.4</v>
      </c>
      <c r="J15" s="247">
        <f>'Pricelist Standard'!J15</f>
        <v>80</v>
      </c>
      <c r="K15" s="247">
        <f>'Pricelist Standard'!K15</f>
        <v>90.5</v>
      </c>
      <c r="L15" s="248">
        <f>'Pricelist Standard'!AC15</f>
        <v>8931500</v>
      </c>
      <c r="M15" s="248">
        <f t="shared" si="4"/>
        <v>625205.00000000012</v>
      </c>
      <c r="N15" s="248">
        <f t="shared" si="5"/>
        <v>0</v>
      </c>
      <c r="O15" s="248">
        <f t="shared" si="6"/>
        <v>9556705</v>
      </c>
      <c r="P15" s="248">
        <f t="shared" si="1"/>
        <v>1911341</v>
      </c>
      <c r="Q15" s="248">
        <v>50000</v>
      </c>
      <c r="R15" s="248">
        <f t="shared" si="7"/>
        <v>1861341</v>
      </c>
      <c r="S15" s="426">
        <v>21</v>
      </c>
      <c r="T15" s="249">
        <v>7</v>
      </c>
      <c r="U15" s="245">
        <f t="shared" si="8"/>
        <v>66476.46428571429</v>
      </c>
      <c r="V15" s="273">
        <f t="shared" si="9"/>
        <v>7</v>
      </c>
      <c r="W15" s="245">
        <f t="shared" si="10"/>
        <v>93067.05</v>
      </c>
      <c r="X15" s="249">
        <v>7</v>
      </c>
      <c r="Y15" s="245">
        <f t="shared" si="11"/>
        <v>106362.34285714287</v>
      </c>
      <c r="Z15" s="248">
        <f t="shared" si="12"/>
        <v>88635.28571428571</v>
      </c>
      <c r="AA15" s="248">
        <f t="shared" si="13"/>
        <v>7645364</v>
      </c>
      <c r="AB15" s="248">
        <f t="shared" si="14"/>
        <v>88769.158711281649</v>
      </c>
      <c r="AC15" s="248">
        <f t="shared" si="2"/>
        <v>68718.693041573933</v>
      </c>
      <c r="AD15" s="248">
        <f t="shared" si="3"/>
        <v>59274.42571618862</v>
      </c>
      <c r="AE15" s="248">
        <f t="shared" si="15"/>
        <v>162441.39074192088</v>
      </c>
      <c r="AG15" s="250">
        <f t="shared" si="16"/>
        <v>0</v>
      </c>
      <c r="AH15" s="257">
        <f t="shared" si="17"/>
        <v>0</v>
      </c>
    </row>
    <row r="16" spans="2:37" s="250" customFormat="1">
      <c r="B16" s="244">
        <f t="shared" si="18"/>
        <v>8</v>
      </c>
      <c r="C16" s="245" t="str">
        <f>'Pricelist Standard'!C16</f>
        <v>Unit 8</v>
      </c>
      <c r="D16" s="246" t="s">
        <v>47</v>
      </c>
      <c r="E16" s="245" t="str">
        <f>'Pricelist Standard'!E16</f>
        <v>Inner</v>
      </c>
      <c r="F16" s="244"/>
      <c r="G16" s="245"/>
      <c r="H16" s="245" t="str">
        <f>'Pricelist Standard'!H16</f>
        <v>2 Storey</v>
      </c>
      <c r="I16" s="247">
        <f>'Pricelist Standard'!I16</f>
        <v>142.44999999999999</v>
      </c>
      <c r="J16" s="247">
        <f>'Pricelist Standard'!J16</f>
        <v>80</v>
      </c>
      <c r="K16" s="247">
        <f>'Pricelist Standard'!K16</f>
        <v>80</v>
      </c>
      <c r="L16" s="248">
        <f>'Pricelist Standard'!AC16</f>
        <v>8900000</v>
      </c>
      <c r="M16" s="248">
        <f t="shared" si="4"/>
        <v>623000.00000000012</v>
      </c>
      <c r="N16" s="248">
        <f t="shared" si="5"/>
        <v>0</v>
      </c>
      <c r="O16" s="248">
        <f t="shared" si="6"/>
        <v>9523000</v>
      </c>
      <c r="P16" s="248">
        <f t="shared" si="1"/>
        <v>1904600</v>
      </c>
      <c r="Q16" s="248">
        <v>50000</v>
      </c>
      <c r="R16" s="248">
        <f t="shared" si="7"/>
        <v>1854600</v>
      </c>
      <c r="S16" s="426">
        <v>24</v>
      </c>
      <c r="T16" s="249">
        <v>8</v>
      </c>
      <c r="U16" s="245">
        <f t="shared" si="8"/>
        <v>57956.25</v>
      </c>
      <c r="V16" s="273">
        <f t="shared" si="9"/>
        <v>8</v>
      </c>
      <c r="W16" s="245">
        <f t="shared" si="10"/>
        <v>81138.75</v>
      </c>
      <c r="X16" s="249">
        <v>8</v>
      </c>
      <c r="Y16" s="245">
        <f t="shared" si="11"/>
        <v>92730</v>
      </c>
      <c r="Z16" s="248">
        <f t="shared" si="12"/>
        <v>77275</v>
      </c>
      <c r="AA16" s="248">
        <f t="shared" si="13"/>
        <v>7618400</v>
      </c>
      <c r="AB16" s="248">
        <f t="shared" si="14"/>
        <v>88456.083807916541</v>
      </c>
      <c r="AC16" s="248">
        <f t="shared" si="2"/>
        <v>68476.332986621288</v>
      </c>
      <c r="AD16" s="248">
        <f t="shared" si="3"/>
        <v>59065.374111188343</v>
      </c>
      <c r="AE16" s="248">
        <f t="shared" si="15"/>
        <v>161868.48542832624</v>
      </c>
      <c r="AG16" s="250">
        <f t="shared" si="16"/>
        <v>0</v>
      </c>
      <c r="AH16" s="257">
        <f t="shared" si="17"/>
        <v>0</v>
      </c>
    </row>
    <row r="17" spans="2:34" s="250" customFormat="1">
      <c r="B17" s="244">
        <f t="shared" si="18"/>
        <v>9</v>
      </c>
      <c r="C17" s="245" t="str">
        <f>'Pricelist Standard'!C17</f>
        <v>Unit 9</v>
      </c>
      <c r="D17" s="246" t="s">
        <v>47</v>
      </c>
      <c r="E17" s="245" t="str">
        <f>'Pricelist Standard'!E17</f>
        <v>End Lot</v>
      </c>
      <c r="F17" s="244"/>
      <c r="G17" s="245"/>
      <c r="H17" s="245" t="str">
        <f>'Pricelist Standard'!H17</f>
        <v>2 Storey</v>
      </c>
      <c r="I17" s="247">
        <f>'Pricelist Standard'!I17</f>
        <v>142.4</v>
      </c>
      <c r="J17" s="247">
        <f>'Pricelist Standard'!J17</f>
        <v>80</v>
      </c>
      <c r="K17" s="247">
        <f>'Pricelist Standard'!K17</f>
        <v>80</v>
      </c>
      <c r="L17" s="248">
        <f>'Pricelist Standard'!AC17</f>
        <v>8900000</v>
      </c>
      <c r="M17" s="248">
        <f t="shared" si="4"/>
        <v>623000.00000000012</v>
      </c>
      <c r="N17" s="248">
        <f t="shared" si="5"/>
        <v>0</v>
      </c>
      <c r="O17" s="248">
        <f t="shared" si="6"/>
        <v>9523000</v>
      </c>
      <c r="P17" s="248">
        <f t="shared" si="1"/>
        <v>1904600</v>
      </c>
      <c r="Q17" s="248">
        <v>50000</v>
      </c>
      <c r="R17" s="248">
        <f t="shared" si="7"/>
        <v>1854600</v>
      </c>
      <c r="S17" s="426">
        <v>24</v>
      </c>
      <c r="T17" s="249">
        <v>8</v>
      </c>
      <c r="U17" s="245">
        <f t="shared" si="8"/>
        <v>57956.25</v>
      </c>
      <c r="V17" s="273">
        <f t="shared" si="9"/>
        <v>8</v>
      </c>
      <c r="W17" s="245">
        <f t="shared" si="10"/>
        <v>81138.75</v>
      </c>
      <c r="X17" s="249">
        <v>8</v>
      </c>
      <c r="Y17" s="245">
        <f t="shared" si="11"/>
        <v>92730</v>
      </c>
      <c r="Z17" s="248">
        <f t="shared" si="12"/>
        <v>77275</v>
      </c>
      <c r="AA17" s="248">
        <f t="shared" si="13"/>
        <v>7618400</v>
      </c>
      <c r="AB17" s="248">
        <f t="shared" si="14"/>
        <v>88456.083807916541</v>
      </c>
      <c r="AC17" s="248">
        <f t="shared" si="2"/>
        <v>68476.332986621288</v>
      </c>
      <c r="AD17" s="248">
        <f t="shared" si="3"/>
        <v>59065.374111188343</v>
      </c>
      <c r="AE17" s="248">
        <f t="shared" si="15"/>
        <v>161868.48542832624</v>
      </c>
      <c r="AG17" s="250">
        <f t="shared" si="16"/>
        <v>0</v>
      </c>
      <c r="AH17" s="257">
        <f t="shared" si="17"/>
        <v>0</v>
      </c>
    </row>
    <row r="18" spans="2:34" s="250" customFormat="1">
      <c r="B18" s="244">
        <f t="shared" si="18"/>
        <v>10</v>
      </c>
      <c r="C18" s="245" t="e">
        <f>'Pricelist Standard'!#REF!</f>
        <v>#REF!</v>
      </c>
      <c r="D18" s="246" t="s">
        <v>47</v>
      </c>
      <c r="E18" s="245" t="e">
        <f>'Pricelist Standard'!#REF!</f>
        <v>#REF!</v>
      </c>
      <c r="F18" s="244"/>
      <c r="G18" s="245"/>
      <c r="H18" s="245" t="e">
        <f>'Pricelist Standard'!#REF!</f>
        <v>#REF!</v>
      </c>
      <c r="I18" s="247" t="e">
        <f>'Pricelist Standard'!#REF!</f>
        <v>#REF!</v>
      </c>
      <c r="J18" s="247" t="e">
        <f>'Pricelist Standard'!#REF!</f>
        <v>#REF!</v>
      </c>
      <c r="K18" s="247" t="e">
        <f>'Pricelist Standard'!#REF!</f>
        <v>#REF!</v>
      </c>
      <c r="L18" s="248" t="e">
        <f>'Pricelist Standard'!#REF!</f>
        <v>#REF!</v>
      </c>
      <c r="M18" s="248" t="e">
        <f t="shared" ref="M18" si="19">L18*$M$7</f>
        <v>#REF!</v>
      </c>
      <c r="N18" s="248" t="e">
        <f t="shared" si="5"/>
        <v>#REF!</v>
      </c>
      <c r="O18" s="248" t="e">
        <f t="shared" ref="O18" si="20">L18+M18+N18</f>
        <v>#REF!</v>
      </c>
      <c r="P18" s="248" t="e">
        <f t="shared" ref="P18" si="21">O18*$P$7</f>
        <v>#REF!</v>
      </c>
      <c r="Q18" s="248">
        <v>50000</v>
      </c>
      <c r="R18" s="248" t="e">
        <f t="shared" ref="R18" si="22">P18-Q18</f>
        <v>#REF!</v>
      </c>
      <c r="S18" s="426">
        <v>24</v>
      </c>
      <c r="T18" s="249">
        <v>8</v>
      </c>
      <c r="U18" s="245" t="e">
        <f t="shared" ref="U18" si="23">(R18*25%)/T18</f>
        <v>#REF!</v>
      </c>
      <c r="V18" s="273">
        <f t="shared" ref="V18" si="24">T18</f>
        <v>8</v>
      </c>
      <c r="W18" s="245" t="e">
        <f t="shared" ref="W18" si="25">(R18*35%)/V18</f>
        <v>#REF!</v>
      </c>
      <c r="X18" s="249">
        <v>8</v>
      </c>
      <c r="Y18" s="245" t="e">
        <f t="shared" ref="Y18" si="26">(R18*40%)/X18</f>
        <v>#REF!</v>
      </c>
      <c r="Z18" s="248" t="e">
        <f t="shared" ref="Z18" si="27">R18/S18</f>
        <v>#REF!</v>
      </c>
      <c r="AA18" s="248" t="e">
        <f t="shared" ref="AA18" si="28">O18*$AA$7</f>
        <v>#REF!</v>
      </c>
      <c r="AB18" s="248" t="e">
        <f t="shared" ref="AB18" si="29">AA18*$AB$6</f>
        <v>#REF!</v>
      </c>
      <c r="AC18" s="248" t="e">
        <f t="shared" ref="AC18" si="30">AA18*$AC$6</f>
        <v>#REF!</v>
      </c>
      <c r="AD18" s="248" t="e">
        <f t="shared" ref="AD18" si="31">AA18*$AD$6</f>
        <v>#REF!</v>
      </c>
      <c r="AE18" s="248" t="e">
        <f t="shared" ref="AE18" si="32">AA18*$AE$6</f>
        <v>#REF!</v>
      </c>
      <c r="AG18" s="250" t="e">
        <f t="shared" si="16"/>
        <v>#REF!</v>
      </c>
      <c r="AH18" s="257">
        <f t="shared" si="17"/>
        <v>0</v>
      </c>
    </row>
    <row r="19" spans="2:34" s="250" customFormat="1">
      <c r="B19" s="251"/>
      <c r="C19" s="252"/>
      <c r="D19" s="252"/>
      <c r="E19" s="252"/>
      <c r="F19" s="251"/>
      <c r="G19" s="252"/>
      <c r="H19" s="252"/>
      <c r="I19" s="253"/>
      <c r="J19" s="254"/>
      <c r="K19" s="251"/>
      <c r="L19" s="254"/>
      <c r="M19" s="254"/>
      <c r="N19" s="254"/>
      <c r="O19" s="254"/>
      <c r="P19" s="254"/>
      <c r="Q19" s="254"/>
      <c r="R19" s="254"/>
      <c r="S19" s="427"/>
      <c r="T19" s="255"/>
      <c r="U19" s="255"/>
      <c r="V19" s="255"/>
      <c r="W19" s="255"/>
      <c r="X19" s="255"/>
      <c r="Y19" s="255"/>
      <c r="Z19" s="254"/>
      <c r="AA19" s="254"/>
      <c r="AB19" s="254"/>
      <c r="AC19" s="254"/>
      <c r="AD19" s="254"/>
      <c r="AE19" s="254"/>
    </row>
    <row r="20" spans="2:34">
      <c r="C20" s="256" t="s">
        <v>56</v>
      </c>
      <c r="D20" s="257"/>
      <c r="E20" s="258"/>
      <c r="H20" s="257"/>
      <c r="S20" s="226"/>
    </row>
    <row r="21" spans="2:34">
      <c r="C21" s="259" t="s">
        <v>57</v>
      </c>
      <c r="D21" s="257"/>
      <c r="E21" s="258"/>
      <c r="H21" s="260"/>
      <c r="O21" s="254"/>
      <c r="P21" s="227"/>
      <c r="S21" s="226"/>
    </row>
    <row r="22" spans="2:34">
      <c r="C22" s="261" t="s">
        <v>71</v>
      </c>
      <c r="D22" s="257"/>
      <c r="E22" s="258"/>
      <c r="O22" s="254"/>
      <c r="S22" s="226"/>
    </row>
    <row r="23" spans="2:34">
      <c r="C23" s="259" t="s">
        <v>58</v>
      </c>
      <c r="D23" s="257"/>
      <c r="E23" s="258"/>
      <c r="S23" s="226"/>
      <c r="Z23" s="257"/>
      <c r="AA23" s="257"/>
      <c r="AB23" s="257"/>
    </row>
    <row r="24" spans="2:34">
      <c r="C24" s="259" t="s">
        <v>59</v>
      </c>
      <c r="D24" s="257"/>
      <c r="E24" s="258"/>
      <c r="S24" s="226"/>
      <c r="Z24" s="257"/>
      <c r="AA24" s="257"/>
      <c r="AB24" s="257"/>
      <c r="AC24" s="262"/>
    </row>
    <row r="25" spans="2:34">
      <c r="C25" s="259" t="s">
        <v>60</v>
      </c>
      <c r="D25" s="257"/>
      <c r="E25" s="258"/>
      <c r="S25" s="226"/>
      <c r="Z25" s="257"/>
      <c r="AA25" s="257"/>
      <c r="AB25" s="257"/>
      <c r="AC25" s="262"/>
    </row>
    <row r="26" spans="2:34">
      <c r="C26" s="259" t="s">
        <v>61</v>
      </c>
      <c r="D26" s="257"/>
      <c r="E26" s="258"/>
      <c r="S26" s="226"/>
      <c r="Z26" s="257"/>
      <c r="AA26" s="257"/>
      <c r="AB26" s="257"/>
      <c r="AC26" s="262"/>
    </row>
    <row r="27" spans="2:34" ht="15">
      <c r="C27" s="259" t="s">
        <v>62</v>
      </c>
      <c r="D27" s="257"/>
      <c r="E27" s="258"/>
      <c r="S27" s="226"/>
      <c r="Z27" s="257"/>
      <c r="AA27" s="257"/>
      <c r="AB27" s="257"/>
      <c r="AC27" s="262"/>
    </row>
    <row r="28" spans="2:34">
      <c r="S28" s="226"/>
      <c r="Z28" s="257"/>
      <c r="AA28" s="257"/>
      <c r="AB28" s="257"/>
      <c r="AC28" s="262"/>
    </row>
    <row r="29" spans="2:34">
      <c r="S29" s="226"/>
      <c r="Z29" s="257"/>
      <c r="AA29" s="257"/>
      <c r="AB29" s="257"/>
      <c r="AC29" s="262"/>
    </row>
    <row r="31" spans="2:34">
      <c r="Q31" s="257"/>
      <c r="R31" s="257"/>
      <c r="S31" s="224"/>
      <c r="T31" s="228"/>
      <c r="U31" s="228"/>
      <c r="V31" s="228"/>
      <c r="W31" s="228"/>
      <c r="X31" s="228"/>
      <c r="Y31" s="228"/>
      <c r="Z31" s="257"/>
      <c r="AA31" s="257"/>
      <c r="AB31" s="257"/>
    </row>
    <row r="32" spans="2:34">
      <c r="Q32" s="257"/>
      <c r="R32" s="257"/>
      <c r="S32" s="428"/>
      <c r="T32" s="262"/>
      <c r="U32" s="262"/>
      <c r="V32" s="262"/>
      <c r="W32" s="262"/>
      <c r="X32" s="262"/>
      <c r="Y32" s="262"/>
      <c r="Z32" s="257"/>
      <c r="AA32" s="257"/>
      <c r="AB32" s="257"/>
      <c r="AC32" s="262"/>
    </row>
    <row r="33" spans="17:29">
      <c r="Q33" s="257"/>
      <c r="R33" s="257"/>
      <c r="S33" s="428"/>
      <c r="T33" s="262"/>
      <c r="U33" s="262"/>
      <c r="V33" s="262"/>
      <c r="W33" s="262"/>
      <c r="X33" s="262"/>
      <c r="Y33" s="262"/>
      <c r="Z33" s="260"/>
      <c r="AA33" s="257"/>
      <c r="AB33" s="257"/>
      <c r="AC33" s="262"/>
    </row>
    <row r="34" spans="17:29">
      <c r="Q34" s="257"/>
      <c r="R34" s="257"/>
      <c r="S34" s="428"/>
      <c r="T34" s="262"/>
      <c r="U34" s="262"/>
      <c r="V34" s="262"/>
      <c r="W34" s="262"/>
      <c r="X34" s="262"/>
      <c r="Y34" s="262"/>
      <c r="Z34" s="260"/>
      <c r="AA34" s="257"/>
      <c r="AB34" s="257"/>
      <c r="AC34" s="262"/>
    </row>
    <row r="35" spans="17:29">
      <c r="Q35" s="257"/>
      <c r="R35" s="257"/>
      <c r="S35" s="428"/>
      <c r="T35" s="262"/>
      <c r="U35" s="262"/>
      <c r="V35" s="262"/>
      <c r="W35" s="262"/>
      <c r="X35" s="262"/>
      <c r="Y35" s="262"/>
      <c r="Z35" s="260"/>
      <c r="AA35" s="257"/>
      <c r="AB35" s="257"/>
      <c r="AC35" s="262"/>
    </row>
    <row r="36" spans="17:29">
      <c r="Q36" s="257"/>
      <c r="R36" s="257"/>
      <c r="S36" s="428"/>
      <c r="T36" s="262"/>
      <c r="U36" s="262"/>
      <c r="V36" s="262"/>
      <c r="W36" s="262"/>
      <c r="X36" s="262"/>
      <c r="Y36" s="262"/>
      <c r="Z36" s="260"/>
      <c r="AA36" s="257"/>
      <c r="AB36" s="257"/>
      <c r="AC36" s="262"/>
    </row>
    <row r="37" spans="17:29">
      <c r="Q37" s="257"/>
      <c r="R37" s="257"/>
      <c r="S37" s="428"/>
      <c r="T37" s="262"/>
      <c r="U37" s="262"/>
      <c r="V37" s="262"/>
      <c r="W37" s="262"/>
      <c r="X37" s="262"/>
      <c r="Y37" s="262"/>
      <c r="Z37" s="260"/>
      <c r="AA37" s="257"/>
      <c r="AB37" s="257"/>
      <c r="AC37" s="262"/>
    </row>
    <row r="38" spans="17:29">
      <c r="Q38" s="257"/>
      <c r="R38" s="257"/>
      <c r="S38" s="428"/>
      <c r="T38" s="262"/>
      <c r="U38" s="262"/>
      <c r="V38" s="262"/>
      <c r="W38" s="262"/>
      <c r="X38" s="262"/>
      <c r="Y38" s="262"/>
      <c r="Z38" s="260"/>
      <c r="AA38" s="257"/>
      <c r="AB38" s="257"/>
      <c r="AC38" s="262"/>
    </row>
    <row r="39" spans="17:29">
      <c r="Q39" s="257"/>
      <c r="R39" s="257"/>
      <c r="S39" s="428"/>
      <c r="T39" s="262"/>
      <c r="U39" s="262"/>
      <c r="V39" s="262"/>
      <c r="W39" s="262"/>
      <c r="X39" s="262"/>
      <c r="Y39" s="262"/>
      <c r="Z39" s="260"/>
      <c r="AA39" s="257"/>
      <c r="AB39" s="257"/>
      <c r="AC39" s="262"/>
    </row>
    <row r="40" spans="17:29">
      <c r="Q40" s="257"/>
      <c r="R40" s="257"/>
      <c r="S40" s="428"/>
      <c r="T40" s="262"/>
      <c r="U40" s="262"/>
      <c r="V40" s="262"/>
      <c r="W40" s="262"/>
      <c r="X40" s="262"/>
      <c r="Y40" s="262"/>
      <c r="Z40" s="260"/>
      <c r="AA40" s="257"/>
      <c r="AB40" s="257"/>
      <c r="AC40" s="262"/>
    </row>
    <row r="41" spans="17:29">
      <c r="S41" s="226"/>
      <c r="AA41" s="257"/>
      <c r="AB41" s="257"/>
      <c r="AC41" s="262"/>
    </row>
  </sheetData>
  <sheetProtection algorithmName="SHA-512" hashValue="/hOV8WOGtM0e+9QP8NQTEZgwbWO2AqCYrI1fq7oBDeHbMgfpwu61iI/X74PlgV85pQznHMzylRMX65fB3qICfw==" saltValue="rSeXZOcQfvzJvno4+tfdVg==" spinCount="100000" sheet="1" selectLockedCells="1" selectUnlockedCells="1"/>
  <mergeCells count="20">
    <mergeCell ref="K7:K8"/>
    <mergeCell ref="D3:L3"/>
    <mergeCell ref="H4:P4"/>
    <mergeCell ref="Q7:Q8"/>
    <mergeCell ref="R7:R8"/>
    <mergeCell ref="G7:G8"/>
    <mergeCell ref="H7:H8"/>
    <mergeCell ref="I7:I8"/>
    <mergeCell ref="J7:J8"/>
    <mergeCell ref="S7:S8"/>
    <mergeCell ref="Z7:Z8"/>
    <mergeCell ref="AB7:AD7"/>
    <mergeCell ref="T7:Y7"/>
    <mergeCell ref="L7:L8"/>
    <mergeCell ref="O7:O8"/>
    <mergeCell ref="B7:B8"/>
    <mergeCell ref="C7:C8"/>
    <mergeCell ref="D7:D8"/>
    <mergeCell ref="E7:E8"/>
    <mergeCell ref="F7:F8"/>
  </mergeCells>
  <pageMargins left="0.23622047244094491" right="0.23622047244094491" top="0.74803149606299213" bottom="0.74803149606299213" header="0.31496062992125984" footer="0.31496062992125984"/>
  <pageSetup paperSize="5" scale="6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F88AA-EF92-44D5-AD25-E3E270C8DB7E}">
  <sheetPr>
    <tabColor rgb="FFFFFF00"/>
  </sheetPr>
  <dimension ref="A1:L35"/>
  <sheetViews>
    <sheetView showGridLines="0" workbookViewId="0">
      <selection activeCell="H10" sqref="H10"/>
    </sheetView>
  </sheetViews>
  <sheetFormatPr defaultColWidth="0" defaultRowHeight="15" zeroHeight="1" outlineLevelRow="1"/>
  <cols>
    <col min="1" max="1" width="3.28515625" style="282" customWidth="1"/>
    <col min="2" max="3" width="12.85546875" style="282" customWidth="1"/>
    <col min="4" max="4" width="5.85546875" style="280" customWidth="1"/>
    <col min="5" max="5" width="30.28515625" style="280" customWidth="1"/>
    <col min="6" max="12" width="9.140625" style="282" customWidth="1"/>
    <col min="13" max="16384" width="9.140625" style="282" hidden="1"/>
  </cols>
  <sheetData>
    <row r="1" spans="2:5" ht="7.5" customHeight="1"/>
    <row r="2" spans="2:5" ht="30" customHeight="1">
      <c r="B2" s="279" t="s">
        <v>72</v>
      </c>
      <c r="C2" s="279"/>
      <c r="D2" s="280" t="s">
        <v>73</v>
      </c>
      <c r="E2" s="286" t="str">
        <f>'Pricelist Standard'!H3</f>
        <v>The Aguirre Townhouse - Las Piñas</v>
      </c>
    </row>
    <row r="3" spans="2:5">
      <c r="B3" s="283"/>
      <c r="C3" s="283"/>
    </row>
    <row r="4" spans="2:5">
      <c r="B4" s="279" t="s">
        <v>74</v>
      </c>
      <c r="C4" s="279"/>
      <c r="D4" s="280" t="s">
        <v>73</v>
      </c>
      <c r="E4" s="320" t="s">
        <v>55</v>
      </c>
    </row>
    <row r="5" spans="2:5">
      <c r="B5" s="283"/>
      <c r="C5" s="283"/>
    </row>
    <row r="6" spans="2:5">
      <c r="B6" s="279" t="s">
        <v>75</v>
      </c>
      <c r="C6" s="279"/>
      <c r="D6" s="280" t="s">
        <v>73</v>
      </c>
      <c r="E6" s="281" t="str">
        <f>VLOOKUP(E4,'Pricelist Standard'!C9:AV17, 6, FALSE)</f>
        <v>2 Storey</v>
      </c>
    </row>
    <row r="7" spans="2:5">
      <c r="B7" s="283"/>
      <c r="C7" s="283"/>
    </row>
    <row r="8" spans="2:5">
      <c r="B8" s="279" t="s">
        <v>18</v>
      </c>
      <c r="C8" s="279"/>
      <c r="D8" s="280" t="s">
        <v>73</v>
      </c>
      <c r="E8" s="284">
        <f>VLOOKUP(E4,'Pricelist Standard'!C9:AV17, 32, FALSE)</f>
        <v>50000</v>
      </c>
    </row>
    <row r="9" spans="2:5">
      <c r="B9" s="283"/>
      <c r="C9" s="283"/>
    </row>
    <row r="10" spans="2:5">
      <c r="B10" s="279" t="s">
        <v>76</v>
      </c>
      <c r="C10" s="279"/>
      <c r="D10" s="280" t="s">
        <v>73</v>
      </c>
      <c r="E10" s="322">
        <f>'Pricelist Standard'!AG7</f>
        <v>0.05</v>
      </c>
    </row>
    <row r="11" spans="2:5">
      <c r="B11" s="283"/>
      <c r="C11" s="283"/>
    </row>
    <row r="12" spans="2:5">
      <c r="B12" s="279" t="s">
        <v>77</v>
      </c>
      <c r="C12" s="279"/>
      <c r="D12" s="280" t="s">
        <v>73</v>
      </c>
      <c r="E12" s="281">
        <v>20</v>
      </c>
    </row>
    <row r="13" spans="2:5">
      <c r="B13" s="292"/>
      <c r="C13" s="292"/>
      <c r="E13" s="293"/>
    </row>
    <row r="14" spans="2:5">
      <c r="B14" s="279" t="s">
        <v>78</v>
      </c>
      <c r="C14" s="279"/>
      <c r="E14" s="321">
        <f ca="1">TODAY()</f>
        <v>45849</v>
      </c>
    </row>
    <row r="15" spans="2:5">
      <c r="B15" s="283"/>
      <c r="C15" s="283"/>
    </row>
    <row r="16" spans="2:5" ht="41.25" customHeight="1">
      <c r="B16" s="279" t="s">
        <v>79</v>
      </c>
      <c r="C16" s="279"/>
      <c r="D16" s="280" t="s">
        <v>73</v>
      </c>
      <c r="E16" s="319" t="s">
        <v>80</v>
      </c>
    </row>
    <row r="17" spans="2:9">
      <c r="B17" s="283"/>
      <c r="C17" s="283"/>
    </row>
    <row r="18" spans="2:9" ht="35.25" hidden="1" customHeight="1">
      <c r="B18" s="279" t="s">
        <v>81</v>
      </c>
      <c r="C18" s="279"/>
      <c r="D18" s="280" t="s">
        <v>73</v>
      </c>
      <c r="E18" s="285"/>
    </row>
    <row r="19" spans="2:9" hidden="1">
      <c r="B19" s="283"/>
      <c r="C19" s="283"/>
    </row>
    <row r="20" spans="2:9" ht="35.25" customHeight="1">
      <c r="B20" s="279" t="s">
        <v>82</v>
      </c>
      <c r="C20" s="279"/>
      <c r="D20" s="280" t="s">
        <v>73</v>
      </c>
      <c r="E20" s="319" t="s">
        <v>83</v>
      </c>
    </row>
    <row r="21" spans="2:9" ht="9.75" customHeight="1"/>
    <row r="22" spans="2:9"/>
    <row r="23" spans="2:9" hidden="1">
      <c r="B23" s="310" t="s">
        <v>84</v>
      </c>
      <c r="C23" s="311"/>
      <c r="D23" s="311"/>
      <c r="E23" s="311"/>
      <c r="F23" s="311"/>
      <c r="G23" s="311"/>
      <c r="H23" s="311"/>
      <c r="I23" s="311"/>
    </row>
    <row r="24" spans="2:9" ht="11.25" hidden="1" customHeight="1"/>
    <row r="25" spans="2:9" hidden="1">
      <c r="B25" s="312" t="s">
        <v>85</v>
      </c>
      <c r="C25" s="313"/>
      <c r="D25" s="314" t="s">
        <v>86</v>
      </c>
      <c r="E25" s="315"/>
      <c r="F25" s="314" t="s">
        <v>69</v>
      </c>
      <c r="G25" s="315"/>
      <c r="H25" s="458" t="s">
        <v>87</v>
      </c>
      <c r="I25" s="460"/>
    </row>
    <row r="26" spans="2:9" hidden="1">
      <c r="B26" s="316" t="s">
        <v>88</v>
      </c>
      <c r="C26" s="317"/>
      <c r="D26" s="452" t="str">
        <f>"1st to " &amp;F26 &amp; "th"</f>
        <v>1st to 8th</v>
      </c>
      <c r="E26" s="453"/>
      <c r="F26" s="454">
        <f>VLOOKUP(E4,'Pricelist Step up'!C9:AU18, 18, FALSE)</f>
        <v>8</v>
      </c>
      <c r="G26" s="455"/>
      <c r="H26" s="456">
        <v>0.25</v>
      </c>
      <c r="I26" s="457"/>
    </row>
    <row r="27" spans="2:9" hidden="1">
      <c r="B27" s="316" t="s">
        <v>89</v>
      </c>
      <c r="C27" s="317"/>
      <c r="D27" s="452" t="str">
        <f>F26+1&amp;"th to" &amp; " " &amp; F26+F27&amp;"th"</f>
        <v>9th to 16th</v>
      </c>
      <c r="E27" s="453"/>
      <c r="F27" s="454">
        <f>VLOOKUP(E4,'Pricelist Step up'!C9:AU18, 20, FALSE)</f>
        <v>8</v>
      </c>
      <c r="G27" s="455"/>
      <c r="H27" s="456">
        <v>0.35</v>
      </c>
      <c r="I27" s="457"/>
    </row>
    <row r="28" spans="2:9" hidden="1">
      <c r="B28" s="316" t="s">
        <v>90</v>
      </c>
      <c r="C28" s="317"/>
      <c r="D28" s="452" t="str">
        <f>F26+F27+1&amp;"th to "&amp;F29&amp;"th"</f>
        <v>17th to 24th</v>
      </c>
      <c r="E28" s="453"/>
      <c r="F28" s="454">
        <f>VLOOKUP(E4,'Pricelist Step up'!C9:AU18, 22, FALSE)</f>
        <v>8</v>
      </c>
      <c r="G28" s="455"/>
      <c r="H28" s="456">
        <v>0.4</v>
      </c>
      <c r="I28" s="457"/>
    </row>
    <row r="29" spans="2:9" hidden="1">
      <c r="B29" s="458" t="s">
        <v>91</v>
      </c>
      <c r="C29" s="459"/>
      <c r="D29" s="459"/>
      <c r="E29" s="459"/>
      <c r="F29" s="458">
        <f>SUM(F26:G28)</f>
        <v>24</v>
      </c>
      <c r="G29" s="460"/>
      <c r="H29" s="461">
        <f>SUM(H26:I28)</f>
        <v>1</v>
      </c>
      <c r="I29" s="462"/>
    </row>
    <row r="31" spans="2:9" hidden="1" outlineLevel="1">
      <c r="E31" s="280" t="s">
        <v>92</v>
      </c>
    </row>
    <row r="32" spans="2:9" hidden="1" outlineLevel="1">
      <c r="B32" s="290" t="s">
        <v>93</v>
      </c>
      <c r="C32" s="287"/>
      <c r="D32" s="289"/>
      <c r="E32" s="291">
        <f>VLOOKUP(E4,'Pricelist Standard'!C9:AV17, 7, FALSE)</f>
        <v>142.4</v>
      </c>
    </row>
    <row r="33" spans="2:5" ht="15" hidden="1" customHeight="1" outlineLevel="1">
      <c r="B33" s="290" t="s">
        <v>94</v>
      </c>
      <c r="C33" s="287"/>
      <c r="D33" s="289"/>
      <c r="E33" s="291">
        <f>VLOOKUP(E4,'Pricelist Standard'!C9:AV17, 8, FALSE)</f>
        <v>80</v>
      </c>
    </row>
    <row r="34" spans="2:5" ht="15" hidden="1" customHeight="1" outlineLevel="1">
      <c r="B34" s="290" t="s">
        <v>95</v>
      </c>
      <c r="C34" s="287"/>
      <c r="D34" s="289"/>
      <c r="E34" s="291">
        <f>VLOOKUP(E4,'Pricelist Standard'!C9:AV17, 9, FALSE)</f>
        <v>80</v>
      </c>
    </row>
    <row r="35" spans="2:5" hidden="1" collapsed="1">
      <c r="B35" s="288"/>
    </row>
  </sheetData>
  <sheetProtection selectLockedCells="1"/>
  <mergeCells count="13"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B29:E29"/>
    <mergeCell ref="F29:G29"/>
    <mergeCell ref="H29:I29"/>
  </mergeCells>
  <dataValidations count="2">
    <dataValidation allowBlank="1" showInputMessage="1" showErrorMessage="1" prompt="i.e. 12th to 23rd month" sqref="D27:D28" xr:uid="{31D03C6C-8C40-42CA-B8C7-8B41EDD60DEB}"/>
    <dataValidation allowBlank="1" showInputMessage="1" showErrorMessage="1" prompt="i.e. 1st to 11th month" sqref="D26" xr:uid="{65355BDC-A7CD-4B5E-A990-444E4FF41C46}"/>
  </dataValidations>
  <pageMargins left="0.7" right="0.7" top="0.75" bottom="0.75" header="0.3" footer="0.3"/>
  <pageSetup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E64CB4A-D9ED-4A87-BC99-DB746B1CFB91}">
          <x14:formula1>
            <xm:f>'Pricelist Standard'!$C$9:$C$17</xm:f>
          </x14:formula1>
          <xm:sqref>E4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65EA5-E6CE-4D66-BD42-CC9EBC0CC858}">
  <sheetPr codeName="Sheet2"/>
  <dimension ref="C4:M22"/>
  <sheetViews>
    <sheetView topLeftCell="AH1" workbookViewId="0">
      <selection activeCell="AL33" sqref="AL33"/>
    </sheetView>
  </sheetViews>
  <sheetFormatPr defaultColWidth="8.85546875" defaultRowHeight="15"/>
  <cols>
    <col min="1" max="2" width="0" style="214" hidden="1" customWidth="1"/>
    <col min="3" max="3" width="16.140625" style="213" hidden="1" customWidth="1"/>
    <col min="4" max="8" width="11.28515625" style="213" hidden="1" customWidth="1"/>
    <col min="9" max="9" width="11.28515625" style="214" hidden="1" customWidth="1"/>
    <col min="10" max="10" width="0" style="214" hidden="1" customWidth="1"/>
    <col min="11" max="13" width="11.28515625" style="214" hidden="1" customWidth="1"/>
    <col min="14" max="33" width="0" style="214" hidden="1" customWidth="1"/>
    <col min="34" max="16384" width="8.85546875" style="214"/>
  </cols>
  <sheetData>
    <row r="4" spans="3:13">
      <c r="C4" s="220">
        <v>45493</v>
      </c>
    </row>
    <row r="8" spans="3:13">
      <c r="D8" s="213" t="s">
        <v>96</v>
      </c>
      <c r="F8" s="213" t="s">
        <v>97</v>
      </c>
      <c r="H8" s="213" t="s">
        <v>98</v>
      </c>
    </row>
    <row r="9" spans="3:13">
      <c r="C9" s="215" t="s">
        <v>99</v>
      </c>
      <c r="D9" s="215">
        <v>400000</v>
      </c>
      <c r="E9" s="215"/>
      <c r="F9" s="215">
        <v>300000</v>
      </c>
      <c r="G9" s="215"/>
      <c r="H9" s="215">
        <v>200000</v>
      </c>
    </row>
    <row r="10" spans="3:13">
      <c r="C10" s="213" t="s">
        <v>100</v>
      </c>
      <c r="D10" s="213">
        <v>60000</v>
      </c>
      <c r="E10" s="216">
        <f>D10/$D$9</f>
        <v>0.15</v>
      </c>
      <c r="F10" s="213">
        <v>40000</v>
      </c>
      <c r="G10" s="216">
        <f>F10/$F$9</f>
        <v>0.13333333333333333</v>
      </c>
      <c r="H10" s="213">
        <v>30000</v>
      </c>
      <c r="I10" s="216">
        <f>H10/$H$9</f>
        <v>0.15</v>
      </c>
      <c r="K10" s="217">
        <f>$D$9*E10</f>
        <v>60000</v>
      </c>
      <c r="L10" s="217">
        <f>$F$9*E10</f>
        <v>45000</v>
      </c>
      <c r="M10" s="217">
        <f>$H$9*E10</f>
        <v>30000</v>
      </c>
    </row>
    <row r="11" spans="3:13">
      <c r="C11" s="213" t="s">
        <v>101</v>
      </c>
      <c r="D11" s="213">
        <v>70000</v>
      </c>
      <c r="E11" s="216">
        <f t="shared" ref="E11:E13" si="0">D11/$D$9</f>
        <v>0.17499999999999999</v>
      </c>
      <c r="F11" s="213">
        <v>60000</v>
      </c>
      <c r="G11" s="216">
        <f t="shared" ref="G11:G13" si="1">F11/$F$9</f>
        <v>0.2</v>
      </c>
      <c r="H11" s="213">
        <v>40000</v>
      </c>
      <c r="I11" s="216">
        <f t="shared" ref="I11:I13" si="2">H11/$H$9</f>
        <v>0.2</v>
      </c>
      <c r="K11" s="217">
        <f t="shared" ref="K11:K13" si="3">$D$9*E11</f>
        <v>70000</v>
      </c>
      <c r="L11" s="217">
        <f t="shared" ref="L11:L13" si="4">$F$9*E11</f>
        <v>52500</v>
      </c>
      <c r="M11" s="217">
        <f t="shared" ref="M11:M13" si="5">$H$9*E11</f>
        <v>35000</v>
      </c>
    </row>
    <row r="12" spans="3:13">
      <c r="C12" s="213" t="s">
        <v>102</v>
      </c>
      <c r="D12" s="213">
        <v>90000</v>
      </c>
      <c r="E12" s="216">
        <f t="shared" si="0"/>
        <v>0.22500000000000001</v>
      </c>
      <c r="F12" s="213">
        <v>80000</v>
      </c>
      <c r="G12" s="216">
        <f t="shared" si="1"/>
        <v>0.26666666666666666</v>
      </c>
      <c r="H12" s="213">
        <v>50000</v>
      </c>
      <c r="I12" s="216">
        <f t="shared" si="2"/>
        <v>0.25</v>
      </c>
      <c r="K12" s="217">
        <f t="shared" si="3"/>
        <v>90000</v>
      </c>
      <c r="L12" s="217">
        <f t="shared" si="4"/>
        <v>67500</v>
      </c>
      <c r="M12" s="217">
        <f t="shared" si="5"/>
        <v>45000</v>
      </c>
    </row>
    <row r="13" spans="3:13">
      <c r="C13" s="213" t="s">
        <v>103</v>
      </c>
      <c r="D13" s="213">
        <v>180000</v>
      </c>
      <c r="E13" s="216">
        <f t="shared" si="0"/>
        <v>0.45</v>
      </c>
      <c r="F13" s="213">
        <v>120000</v>
      </c>
      <c r="G13" s="216">
        <f t="shared" si="1"/>
        <v>0.4</v>
      </c>
      <c r="H13" s="213">
        <v>80000</v>
      </c>
      <c r="I13" s="216">
        <f t="shared" si="2"/>
        <v>0.4</v>
      </c>
      <c r="K13" s="217">
        <f t="shared" si="3"/>
        <v>180000</v>
      </c>
      <c r="L13" s="217">
        <f t="shared" si="4"/>
        <v>135000</v>
      </c>
      <c r="M13" s="217">
        <f t="shared" si="5"/>
        <v>90000</v>
      </c>
    </row>
    <row r="14" spans="3:13">
      <c r="C14" s="213" t="s">
        <v>104</v>
      </c>
      <c r="D14" s="213">
        <f>D9-D10-D11-D12-D13</f>
        <v>0</v>
      </c>
      <c r="F14" s="213">
        <f t="shared" ref="F14:H14" si="6">F9-F10-F11-F12-F13</f>
        <v>0</v>
      </c>
      <c r="H14" s="213">
        <f t="shared" si="6"/>
        <v>0</v>
      </c>
      <c r="I14" s="213"/>
    </row>
    <row r="16" spans="3:13">
      <c r="E16" s="218"/>
    </row>
    <row r="17" spans="5:9">
      <c r="E17" s="218"/>
      <c r="I17" s="219">
        <f>I10+I11</f>
        <v>0.35</v>
      </c>
    </row>
    <row r="18" spans="5:9">
      <c r="E18" s="218"/>
      <c r="I18" s="219">
        <f>I17+I12</f>
        <v>0.6</v>
      </c>
    </row>
    <row r="19" spans="5:9">
      <c r="E19" s="218"/>
      <c r="I19" s="219">
        <f>I18+I13</f>
        <v>1</v>
      </c>
    </row>
    <row r="20" spans="5:9">
      <c r="E20" s="218"/>
    </row>
    <row r="21" spans="5:9">
      <c r="E21" s="218"/>
    </row>
    <row r="22" spans="5:9">
      <c r="E22" s="218"/>
    </row>
  </sheetData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5F787-1535-4952-A203-D322F6530590}">
  <dimension ref="A1:BG424"/>
  <sheetViews>
    <sheetView topLeftCell="BF1" workbookViewId="0">
      <selection activeCell="BK6" sqref="BK6"/>
    </sheetView>
  </sheetViews>
  <sheetFormatPr defaultColWidth="9.28515625" defaultRowHeight="12.75"/>
  <cols>
    <col min="1" max="1" width="11.7109375" style="168" hidden="1" customWidth="1"/>
    <col min="2" max="2" width="63.140625" style="168" hidden="1" customWidth="1"/>
    <col min="3" max="3" width="16.7109375" style="168" hidden="1" customWidth="1"/>
    <col min="4" max="4" width="8.5703125" style="168" hidden="1" customWidth="1"/>
    <col min="5" max="5" width="4.7109375" style="158" hidden="1" customWidth="1"/>
    <col min="6" max="6" width="10.42578125" style="168" hidden="1" customWidth="1"/>
    <col min="7" max="7" width="75.7109375" style="168" hidden="1" customWidth="1"/>
    <col min="8" max="8" width="18.5703125" style="168" hidden="1" customWidth="1"/>
    <col min="9" max="9" width="9.7109375" style="168" hidden="1" customWidth="1"/>
    <col min="10" max="10" width="5.42578125" style="158" hidden="1" customWidth="1"/>
    <col min="11" max="11" width="9" style="168" hidden="1" customWidth="1"/>
    <col min="12" max="12" width="66.7109375" style="168" hidden="1" customWidth="1"/>
    <col min="13" max="13" width="16.7109375" style="168" hidden="1" customWidth="1"/>
    <col min="14" max="14" width="0" style="168" hidden="1" customWidth="1"/>
    <col min="15" max="15" width="0" style="158" hidden="1" customWidth="1"/>
    <col min="16" max="16" width="17.140625" style="158" hidden="1" customWidth="1"/>
    <col min="17" max="17" width="65" style="158" hidden="1" customWidth="1"/>
    <col min="18" max="18" width="14.7109375" style="158" hidden="1" customWidth="1"/>
    <col min="19" max="19" width="7.5703125" style="158" hidden="1" customWidth="1"/>
    <col min="20" max="20" width="0" style="158" hidden="1" customWidth="1"/>
    <col min="21" max="21" width="17.140625" style="158" hidden="1" customWidth="1"/>
    <col min="22" max="22" width="65" style="158" hidden="1" customWidth="1"/>
    <col min="23" max="23" width="14.5703125" style="158" hidden="1" customWidth="1"/>
    <col min="24" max="24" width="7.5703125" style="158" hidden="1" customWidth="1"/>
    <col min="25" max="25" width="0" style="158" hidden="1" customWidth="1"/>
    <col min="26" max="26" width="17.140625" style="158" hidden="1" customWidth="1"/>
    <col min="27" max="27" width="65" style="158" hidden="1" customWidth="1"/>
    <col min="28" max="28" width="14.7109375" style="158" hidden="1" customWidth="1"/>
    <col min="29" max="29" width="7.5703125" style="158" hidden="1" customWidth="1"/>
    <col min="30" max="30" width="0" style="158" hidden="1" customWidth="1"/>
    <col min="31" max="31" width="17.140625" style="158" hidden="1" customWidth="1"/>
    <col min="32" max="32" width="65" style="158" hidden="1" customWidth="1"/>
    <col min="33" max="33" width="14.42578125" style="158" hidden="1" customWidth="1"/>
    <col min="34" max="34" width="7.5703125" style="158" hidden="1" customWidth="1"/>
    <col min="35" max="35" width="0" style="158" hidden="1" customWidth="1"/>
    <col min="36" max="36" width="17.140625" style="158" hidden="1" customWidth="1"/>
    <col min="37" max="37" width="65" style="158" hidden="1" customWidth="1"/>
    <col min="38" max="38" width="14.140625" style="158" hidden="1" customWidth="1"/>
    <col min="39" max="39" width="8.28515625" style="158" hidden="1" customWidth="1"/>
    <col min="40" max="40" width="0" style="158" hidden="1" customWidth="1"/>
    <col min="41" max="41" width="17.140625" style="158" hidden="1" customWidth="1"/>
    <col min="42" max="42" width="65" style="158" hidden="1" customWidth="1"/>
    <col min="43" max="43" width="14.140625" style="158" hidden="1" customWidth="1"/>
    <col min="44" max="44" width="7.5703125" style="158" hidden="1" customWidth="1"/>
    <col min="45" max="45" width="0" style="158" hidden="1" customWidth="1"/>
    <col min="46" max="46" width="17.140625" style="158" hidden="1" customWidth="1"/>
    <col min="47" max="47" width="65" style="158" hidden="1" customWidth="1"/>
    <col min="48" max="48" width="15.5703125" style="158" hidden="1" customWidth="1"/>
    <col min="49" max="49" width="7.5703125" style="158" hidden="1" customWidth="1"/>
    <col min="50" max="57" width="0" style="158" hidden="1" customWidth="1"/>
    <col min="58" max="59" width="9.28515625" style="158"/>
    <col min="60" max="249" width="9.28515625" style="168"/>
    <col min="250" max="250" width="7.7109375" style="168" customWidth="1"/>
    <col min="251" max="251" width="59.42578125" style="168" customWidth="1"/>
    <col min="252" max="252" width="14.5703125" style="168" bestFit="1" customWidth="1"/>
    <col min="253" max="253" width="9.140625" style="168" customWidth="1"/>
    <col min="254" max="256" width="0" style="168" hidden="1" customWidth="1"/>
    <col min="257" max="257" width="6.7109375" style="168" customWidth="1"/>
    <col min="258" max="258" width="7.28515625" style="168" customWidth="1"/>
    <col min="259" max="259" width="75.7109375" style="168" customWidth="1"/>
    <col min="260" max="260" width="18.5703125" style="168" customWidth="1"/>
    <col min="261" max="261" width="9.7109375" style="168" customWidth="1"/>
    <col min="262" max="262" width="3.28515625" style="168" customWidth="1"/>
    <col min="263" max="263" width="6.42578125" style="168" customWidth="1"/>
    <col min="264" max="264" width="66.7109375" style="168" customWidth="1"/>
    <col min="265" max="265" width="16.7109375" style="168" customWidth="1"/>
    <col min="266" max="267" width="9.28515625" style="168"/>
    <col min="268" max="268" width="15.5703125" style="168" bestFit="1" customWidth="1"/>
    <col min="269" max="269" width="66.42578125" style="168" bestFit="1" customWidth="1"/>
    <col min="270" max="270" width="13.28515625" style="168" bestFit="1" customWidth="1"/>
    <col min="271" max="271" width="11.42578125" style="168" customWidth="1"/>
    <col min="272" max="505" width="9.28515625" style="168"/>
    <col min="506" max="506" width="7.7109375" style="168" customWidth="1"/>
    <col min="507" max="507" width="59.42578125" style="168" customWidth="1"/>
    <col min="508" max="508" width="14.5703125" style="168" bestFit="1" customWidth="1"/>
    <col min="509" max="509" width="9.140625" style="168" customWidth="1"/>
    <col min="510" max="512" width="0" style="168" hidden="1" customWidth="1"/>
    <col min="513" max="513" width="6.7109375" style="168" customWidth="1"/>
    <col min="514" max="514" width="7.28515625" style="168" customWidth="1"/>
    <col min="515" max="515" width="75.7109375" style="168" customWidth="1"/>
    <col min="516" max="516" width="18.5703125" style="168" customWidth="1"/>
    <col min="517" max="517" width="9.7109375" style="168" customWidth="1"/>
    <col min="518" max="518" width="3.28515625" style="168" customWidth="1"/>
    <col min="519" max="519" width="6.42578125" style="168" customWidth="1"/>
    <col min="520" max="520" width="66.7109375" style="168" customWidth="1"/>
    <col min="521" max="521" width="16.7109375" style="168" customWidth="1"/>
    <col min="522" max="523" width="9.28515625" style="168"/>
    <col min="524" max="524" width="15.5703125" style="168" bestFit="1" customWidth="1"/>
    <col min="525" max="525" width="66.42578125" style="168" bestFit="1" customWidth="1"/>
    <col min="526" max="526" width="13.28515625" style="168" bestFit="1" customWidth="1"/>
    <col min="527" max="527" width="11.42578125" style="168" customWidth="1"/>
    <col min="528" max="761" width="9.28515625" style="168"/>
    <col min="762" max="762" width="7.7109375" style="168" customWidth="1"/>
    <col min="763" max="763" width="59.42578125" style="168" customWidth="1"/>
    <col min="764" max="764" width="14.5703125" style="168" bestFit="1" customWidth="1"/>
    <col min="765" max="765" width="9.140625" style="168" customWidth="1"/>
    <col min="766" max="768" width="0" style="168" hidden="1" customWidth="1"/>
    <col min="769" max="769" width="6.7109375" style="168" customWidth="1"/>
    <col min="770" max="770" width="7.28515625" style="168" customWidth="1"/>
    <col min="771" max="771" width="75.7109375" style="168" customWidth="1"/>
    <col min="772" max="772" width="18.5703125" style="168" customWidth="1"/>
    <col min="773" max="773" width="9.7109375" style="168" customWidth="1"/>
    <col min="774" max="774" width="3.28515625" style="168" customWidth="1"/>
    <col min="775" max="775" width="6.42578125" style="168" customWidth="1"/>
    <col min="776" max="776" width="66.7109375" style="168" customWidth="1"/>
    <col min="777" max="777" width="16.7109375" style="168" customWidth="1"/>
    <col min="778" max="779" width="9.28515625" style="168"/>
    <col min="780" max="780" width="15.5703125" style="168" bestFit="1" customWidth="1"/>
    <col min="781" max="781" width="66.42578125" style="168" bestFit="1" customWidth="1"/>
    <col min="782" max="782" width="13.28515625" style="168" bestFit="1" customWidth="1"/>
    <col min="783" max="783" width="11.42578125" style="168" customWidth="1"/>
    <col min="784" max="1017" width="9.28515625" style="168"/>
    <col min="1018" max="1018" width="7.7109375" style="168" customWidth="1"/>
    <col min="1019" max="1019" width="59.42578125" style="168" customWidth="1"/>
    <col min="1020" max="1020" width="14.5703125" style="168" bestFit="1" customWidth="1"/>
    <col min="1021" max="1021" width="9.140625" style="168" customWidth="1"/>
    <col min="1022" max="1024" width="0" style="168" hidden="1" customWidth="1"/>
    <col min="1025" max="1025" width="6.7109375" style="168" customWidth="1"/>
    <col min="1026" max="1026" width="7.28515625" style="168" customWidth="1"/>
    <col min="1027" max="1027" width="75.7109375" style="168" customWidth="1"/>
    <col min="1028" max="1028" width="18.5703125" style="168" customWidth="1"/>
    <col min="1029" max="1029" width="9.7109375" style="168" customWidth="1"/>
    <col min="1030" max="1030" width="3.28515625" style="168" customWidth="1"/>
    <col min="1031" max="1031" width="6.42578125" style="168" customWidth="1"/>
    <col min="1032" max="1032" width="66.7109375" style="168" customWidth="1"/>
    <col min="1033" max="1033" width="16.7109375" style="168" customWidth="1"/>
    <col min="1034" max="1035" width="9.28515625" style="168"/>
    <col min="1036" max="1036" width="15.5703125" style="168" bestFit="1" customWidth="1"/>
    <col min="1037" max="1037" width="66.42578125" style="168" bestFit="1" customWidth="1"/>
    <col min="1038" max="1038" width="13.28515625" style="168" bestFit="1" customWidth="1"/>
    <col min="1039" max="1039" width="11.42578125" style="168" customWidth="1"/>
    <col min="1040" max="1273" width="9.28515625" style="168"/>
    <col min="1274" max="1274" width="7.7109375" style="168" customWidth="1"/>
    <col min="1275" max="1275" width="59.42578125" style="168" customWidth="1"/>
    <col min="1276" max="1276" width="14.5703125" style="168" bestFit="1" customWidth="1"/>
    <col min="1277" max="1277" width="9.140625" style="168" customWidth="1"/>
    <col min="1278" max="1280" width="0" style="168" hidden="1" customWidth="1"/>
    <col min="1281" max="1281" width="6.7109375" style="168" customWidth="1"/>
    <col min="1282" max="1282" width="7.28515625" style="168" customWidth="1"/>
    <col min="1283" max="1283" width="75.7109375" style="168" customWidth="1"/>
    <col min="1284" max="1284" width="18.5703125" style="168" customWidth="1"/>
    <col min="1285" max="1285" width="9.7109375" style="168" customWidth="1"/>
    <col min="1286" max="1286" width="3.28515625" style="168" customWidth="1"/>
    <col min="1287" max="1287" width="6.42578125" style="168" customWidth="1"/>
    <col min="1288" max="1288" width="66.7109375" style="168" customWidth="1"/>
    <col min="1289" max="1289" width="16.7109375" style="168" customWidth="1"/>
    <col min="1290" max="1291" width="9.28515625" style="168"/>
    <col min="1292" max="1292" width="15.5703125" style="168" bestFit="1" customWidth="1"/>
    <col min="1293" max="1293" width="66.42578125" style="168" bestFit="1" customWidth="1"/>
    <col min="1294" max="1294" width="13.28515625" style="168" bestFit="1" customWidth="1"/>
    <col min="1295" max="1295" width="11.42578125" style="168" customWidth="1"/>
    <col min="1296" max="1529" width="9.28515625" style="168"/>
    <col min="1530" max="1530" width="7.7109375" style="168" customWidth="1"/>
    <col min="1531" max="1531" width="59.42578125" style="168" customWidth="1"/>
    <col min="1532" max="1532" width="14.5703125" style="168" bestFit="1" customWidth="1"/>
    <col min="1533" max="1533" width="9.140625" style="168" customWidth="1"/>
    <col min="1534" max="1536" width="0" style="168" hidden="1" customWidth="1"/>
    <col min="1537" max="1537" width="6.7109375" style="168" customWidth="1"/>
    <col min="1538" max="1538" width="7.28515625" style="168" customWidth="1"/>
    <col min="1539" max="1539" width="75.7109375" style="168" customWidth="1"/>
    <col min="1540" max="1540" width="18.5703125" style="168" customWidth="1"/>
    <col min="1541" max="1541" width="9.7109375" style="168" customWidth="1"/>
    <col min="1542" max="1542" width="3.28515625" style="168" customWidth="1"/>
    <col min="1543" max="1543" width="6.42578125" style="168" customWidth="1"/>
    <col min="1544" max="1544" width="66.7109375" style="168" customWidth="1"/>
    <col min="1545" max="1545" width="16.7109375" style="168" customWidth="1"/>
    <col min="1546" max="1547" width="9.28515625" style="168"/>
    <col min="1548" max="1548" width="15.5703125" style="168" bestFit="1" customWidth="1"/>
    <col min="1549" max="1549" width="66.42578125" style="168" bestFit="1" customWidth="1"/>
    <col min="1550" max="1550" width="13.28515625" style="168" bestFit="1" customWidth="1"/>
    <col min="1551" max="1551" width="11.42578125" style="168" customWidth="1"/>
    <col min="1552" max="1785" width="9.28515625" style="168"/>
    <col min="1786" max="1786" width="7.7109375" style="168" customWidth="1"/>
    <col min="1787" max="1787" width="59.42578125" style="168" customWidth="1"/>
    <col min="1788" max="1788" width="14.5703125" style="168" bestFit="1" customWidth="1"/>
    <col min="1789" max="1789" width="9.140625" style="168" customWidth="1"/>
    <col min="1790" max="1792" width="0" style="168" hidden="1" customWidth="1"/>
    <col min="1793" max="1793" width="6.7109375" style="168" customWidth="1"/>
    <col min="1794" max="1794" width="7.28515625" style="168" customWidth="1"/>
    <col min="1795" max="1795" width="75.7109375" style="168" customWidth="1"/>
    <col min="1796" max="1796" width="18.5703125" style="168" customWidth="1"/>
    <col min="1797" max="1797" width="9.7109375" style="168" customWidth="1"/>
    <col min="1798" max="1798" width="3.28515625" style="168" customWidth="1"/>
    <col min="1799" max="1799" width="6.42578125" style="168" customWidth="1"/>
    <col min="1800" max="1800" width="66.7109375" style="168" customWidth="1"/>
    <col min="1801" max="1801" width="16.7109375" style="168" customWidth="1"/>
    <col min="1802" max="1803" width="9.28515625" style="168"/>
    <col min="1804" max="1804" width="15.5703125" style="168" bestFit="1" customWidth="1"/>
    <col min="1805" max="1805" width="66.42578125" style="168" bestFit="1" customWidth="1"/>
    <col min="1806" max="1806" width="13.28515625" style="168" bestFit="1" customWidth="1"/>
    <col min="1807" max="1807" width="11.42578125" style="168" customWidth="1"/>
    <col min="1808" max="2041" width="9.28515625" style="168"/>
    <col min="2042" max="2042" width="7.7109375" style="168" customWidth="1"/>
    <col min="2043" max="2043" width="59.42578125" style="168" customWidth="1"/>
    <col min="2044" max="2044" width="14.5703125" style="168" bestFit="1" customWidth="1"/>
    <col min="2045" max="2045" width="9.140625" style="168" customWidth="1"/>
    <col min="2046" max="2048" width="0" style="168" hidden="1" customWidth="1"/>
    <col min="2049" max="2049" width="6.7109375" style="168" customWidth="1"/>
    <col min="2050" max="2050" width="7.28515625" style="168" customWidth="1"/>
    <col min="2051" max="2051" width="75.7109375" style="168" customWidth="1"/>
    <col min="2052" max="2052" width="18.5703125" style="168" customWidth="1"/>
    <col min="2053" max="2053" width="9.7109375" style="168" customWidth="1"/>
    <col min="2054" max="2054" width="3.28515625" style="168" customWidth="1"/>
    <col min="2055" max="2055" width="6.42578125" style="168" customWidth="1"/>
    <col min="2056" max="2056" width="66.7109375" style="168" customWidth="1"/>
    <col min="2057" max="2057" width="16.7109375" style="168" customWidth="1"/>
    <col min="2058" max="2059" width="9.28515625" style="168"/>
    <col min="2060" max="2060" width="15.5703125" style="168" bestFit="1" customWidth="1"/>
    <col min="2061" max="2061" width="66.42578125" style="168" bestFit="1" customWidth="1"/>
    <col min="2062" max="2062" width="13.28515625" style="168" bestFit="1" customWidth="1"/>
    <col min="2063" max="2063" width="11.42578125" style="168" customWidth="1"/>
    <col min="2064" max="2297" width="9.28515625" style="168"/>
    <col min="2298" max="2298" width="7.7109375" style="168" customWidth="1"/>
    <col min="2299" max="2299" width="59.42578125" style="168" customWidth="1"/>
    <col min="2300" max="2300" width="14.5703125" style="168" bestFit="1" customWidth="1"/>
    <col min="2301" max="2301" width="9.140625" style="168" customWidth="1"/>
    <col min="2302" max="2304" width="0" style="168" hidden="1" customWidth="1"/>
    <col min="2305" max="2305" width="6.7109375" style="168" customWidth="1"/>
    <col min="2306" max="2306" width="7.28515625" style="168" customWidth="1"/>
    <col min="2307" max="2307" width="75.7109375" style="168" customWidth="1"/>
    <col min="2308" max="2308" width="18.5703125" style="168" customWidth="1"/>
    <col min="2309" max="2309" width="9.7109375" style="168" customWidth="1"/>
    <col min="2310" max="2310" width="3.28515625" style="168" customWidth="1"/>
    <col min="2311" max="2311" width="6.42578125" style="168" customWidth="1"/>
    <col min="2312" max="2312" width="66.7109375" style="168" customWidth="1"/>
    <col min="2313" max="2313" width="16.7109375" style="168" customWidth="1"/>
    <col min="2314" max="2315" width="9.28515625" style="168"/>
    <col min="2316" max="2316" width="15.5703125" style="168" bestFit="1" customWidth="1"/>
    <col min="2317" max="2317" width="66.42578125" style="168" bestFit="1" customWidth="1"/>
    <col min="2318" max="2318" width="13.28515625" style="168" bestFit="1" customWidth="1"/>
    <col min="2319" max="2319" width="11.42578125" style="168" customWidth="1"/>
    <col min="2320" max="2553" width="9.28515625" style="168"/>
    <col min="2554" max="2554" width="7.7109375" style="168" customWidth="1"/>
    <col min="2555" max="2555" width="59.42578125" style="168" customWidth="1"/>
    <col min="2556" max="2556" width="14.5703125" style="168" bestFit="1" customWidth="1"/>
    <col min="2557" max="2557" width="9.140625" style="168" customWidth="1"/>
    <col min="2558" max="2560" width="0" style="168" hidden="1" customWidth="1"/>
    <col min="2561" max="2561" width="6.7109375" style="168" customWidth="1"/>
    <col min="2562" max="2562" width="7.28515625" style="168" customWidth="1"/>
    <col min="2563" max="2563" width="75.7109375" style="168" customWidth="1"/>
    <col min="2564" max="2564" width="18.5703125" style="168" customWidth="1"/>
    <col min="2565" max="2565" width="9.7109375" style="168" customWidth="1"/>
    <col min="2566" max="2566" width="3.28515625" style="168" customWidth="1"/>
    <col min="2567" max="2567" width="6.42578125" style="168" customWidth="1"/>
    <col min="2568" max="2568" width="66.7109375" style="168" customWidth="1"/>
    <col min="2569" max="2569" width="16.7109375" style="168" customWidth="1"/>
    <col min="2570" max="2571" width="9.28515625" style="168"/>
    <col min="2572" max="2572" width="15.5703125" style="168" bestFit="1" customWidth="1"/>
    <col min="2573" max="2573" width="66.42578125" style="168" bestFit="1" customWidth="1"/>
    <col min="2574" max="2574" width="13.28515625" style="168" bestFit="1" customWidth="1"/>
    <col min="2575" max="2575" width="11.42578125" style="168" customWidth="1"/>
    <col min="2576" max="2809" width="9.28515625" style="168"/>
    <col min="2810" max="2810" width="7.7109375" style="168" customWidth="1"/>
    <col min="2811" max="2811" width="59.42578125" style="168" customWidth="1"/>
    <col min="2812" max="2812" width="14.5703125" style="168" bestFit="1" customWidth="1"/>
    <col min="2813" max="2813" width="9.140625" style="168" customWidth="1"/>
    <col min="2814" max="2816" width="0" style="168" hidden="1" customWidth="1"/>
    <col min="2817" max="2817" width="6.7109375" style="168" customWidth="1"/>
    <col min="2818" max="2818" width="7.28515625" style="168" customWidth="1"/>
    <col min="2819" max="2819" width="75.7109375" style="168" customWidth="1"/>
    <col min="2820" max="2820" width="18.5703125" style="168" customWidth="1"/>
    <col min="2821" max="2821" width="9.7109375" style="168" customWidth="1"/>
    <col min="2822" max="2822" width="3.28515625" style="168" customWidth="1"/>
    <col min="2823" max="2823" width="6.42578125" style="168" customWidth="1"/>
    <col min="2824" max="2824" width="66.7109375" style="168" customWidth="1"/>
    <col min="2825" max="2825" width="16.7109375" style="168" customWidth="1"/>
    <col min="2826" max="2827" width="9.28515625" style="168"/>
    <col min="2828" max="2828" width="15.5703125" style="168" bestFit="1" customWidth="1"/>
    <col min="2829" max="2829" width="66.42578125" style="168" bestFit="1" customWidth="1"/>
    <col min="2830" max="2830" width="13.28515625" style="168" bestFit="1" customWidth="1"/>
    <col min="2831" max="2831" width="11.42578125" style="168" customWidth="1"/>
    <col min="2832" max="3065" width="9.28515625" style="168"/>
    <col min="3066" max="3066" width="7.7109375" style="168" customWidth="1"/>
    <col min="3067" max="3067" width="59.42578125" style="168" customWidth="1"/>
    <col min="3068" max="3068" width="14.5703125" style="168" bestFit="1" customWidth="1"/>
    <col min="3069" max="3069" width="9.140625" style="168" customWidth="1"/>
    <col min="3070" max="3072" width="0" style="168" hidden="1" customWidth="1"/>
    <col min="3073" max="3073" width="6.7109375" style="168" customWidth="1"/>
    <col min="3074" max="3074" width="7.28515625" style="168" customWidth="1"/>
    <col min="3075" max="3075" width="75.7109375" style="168" customWidth="1"/>
    <col min="3076" max="3076" width="18.5703125" style="168" customWidth="1"/>
    <col min="3077" max="3077" width="9.7109375" style="168" customWidth="1"/>
    <col min="3078" max="3078" width="3.28515625" style="168" customWidth="1"/>
    <col min="3079" max="3079" width="6.42578125" style="168" customWidth="1"/>
    <col min="3080" max="3080" width="66.7109375" style="168" customWidth="1"/>
    <col min="3081" max="3081" width="16.7109375" style="168" customWidth="1"/>
    <col min="3082" max="3083" width="9.28515625" style="168"/>
    <col min="3084" max="3084" width="15.5703125" style="168" bestFit="1" customWidth="1"/>
    <col min="3085" max="3085" width="66.42578125" style="168" bestFit="1" customWidth="1"/>
    <col min="3086" max="3086" width="13.28515625" style="168" bestFit="1" customWidth="1"/>
    <col min="3087" max="3087" width="11.42578125" style="168" customWidth="1"/>
    <col min="3088" max="3321" width="9.28515625" style="168"/>
    <col min="3322" max="3322" width="7.7109375" style="168" customWidth="1"/>
    <col min="3323" max="3323" width="59.42578125" style="168" customWidth="1"/>
    <col min="3324" max="3324" width="14.5703125" style="168" bestFit="1" customWidth="1"/>
    <col min="3325" max="3325" width="9.140625" style="168" customWidth="1"/>
    <col min="3326" max="3328" width="0" style="168" hidden="1" customWidth="1"/>
    <col min="3329" max="3329" width="6.7109375" style="168" customWidth="1"/>
    <col min="3330" max="3330" width="7.28515625" style="168" customWidth="1"/>
    <col min="3331" max="3331" width="75.7109375" style="168" customWidth="1"/>
    <col min="3332" max="3332" width="18.5703125" style="168" customWidth="1"/>
    <col min="3333" max="3333" width="9.7109375" style="168" customWidth="1"/>
    <col min="3334" max="3334" width="3.28515625" style="168" customWidth="1"/>
    <col min="3335" max="3335" width="6.42578125" style="168" customWidth="1"/>
    <col min="3336" max="3336" width="66.7109375" style="168" customWidth="1"/>
    <col min="3337" max="3337" width="16.7109375" style="168" customWidth="1"/>
    <col min="3338" max="3339" width="9.28515625" style="168"/>
    <col min="3340" max="3340" width="15.5703125" style="168" bestFit="1" customWidth="1"/>
    <col min="3341" max="3341" width="66.42578125" style="168" bestFit="1" customWidth="1"/>
    <col min="3342" max="3342" width="13.28515625" style="168" bestFit="1" customWidth="1"/>
    <col min="3343" max="3343" width="11.42578125" style="168" customWidth="1"/>
    <col min="3344" max="3577" width="9.28515625" style="168"/>
    <col min="3578" max="3578" width="7.7109375" style="168" customWidth="1"/>
    <col min="3579" max="3579" width="59.42578125" style="168" customWidth="1"/>
    <col min="3580" max="3580" width="14.5703125" style="168" bestFit="1" customWidth="1"/>
    <col min="3581" max="3581" width="9.140625" style="168" customWidth="1"/>
    <col min="3582" max="3584" width="0" style="168" hidden="1" customWidth="1"/>
    <col min="3585" max="3585" width="6.7109375" style="168" customWidth="1"/>
    <col min="3586" max="3586" width="7.28515625" style="168" customWidth="1"/>
    <col min="3587" max="3587" width="75.7109375" style="168" customWidth="1"/>
    <col min="3588" max="3588" width="18.5703125" style="168" customWidth="1"/>
    <col min="3589" max="3589" width="9.7109375" style="168" customWidth="1"/>
    <col min="3590" max="3590" width="3.28515625" style="168" customWidth="1"/>
    <col min="3591" max="3591" width="6.42578125" style="168" customWidth="1"/>
    <col min="3592" max="3592" width="66.7109375" style="168" customWidth="1"/>
    <col min="3593" max="3593" width="16.7109375" style="168" customWidth="1"/>
    <col min="3594" max="3595" width="9.28515625" style="168"/>
    <col min="3596" max="3596" width="15.5703125" style="168" bestFit="1" customWidth="1"/>
    <col min="3597" max="3597" width="66.42578125" style="168" bestFit="1" customWidth="1"/>
    <col min="3598" max="3598" width="13.28515625" style="168" bestFit="1" customWidth="1"/>
    <col min="3599" max="3599" width="11.42578125" style="168" customWidth="1"/>
    <col min="3600" max="3833" width="9.28515625" style="168"/>
    <col min="3834" max="3834" width="7.7109375" style="168" customWidth="1"/>
    <col min="3835" max="3835" width="59.42578125" style="168" customWidth="1"/>
    <col min="3836" max="3836" width="14.5703125" style="168" bestFit="1" customWidth="1"/>
    <col min="3837" max="3837" width="9.140625" style="168" customWidth="1"/>
    <col min="3838" max="3840" width="0" style="168" hidden="1" customWidth="1"/>
    <col min="3841" max="3841" width="6.7109375" style="168" customWidth="1"/>
    <col min="3842" max="3842" width="7.28515625" style="168" customWidth="1"/>
    <col min="3843" max="3843" width="75.7109375" style="168" customWidth="1"/>
    <col min="3844" max="3844" width="18.5703125" style="168" customWidth="1"/>
    <col min="3845" max="3845" width="9.7109375" style="168" customWidth="1"/>
    <col min="3846" max="3846" width="3.28515625" style="168" customWidth="1"/>
    <col min="3847" max="3847" width="6.42578125" style="168" customWidth="1"/>
    <col min="3848" max="3848" width="66.7109375" style="168" customWidth="1"/>
    <col min="3849" max="3849" width="16.7109375" style="168" customWidth="1"/>
    <col min="3850" max="3851" width="9.28515625" style="168"/>
    <col min="3852" max="3852" width="15.5703125" style="168" bestFit="1" customWidth="1"/>
    <col min="3853" max="3853" width="66.42578125" style="168" bestFit="1" customWidth="1"/>
    <col min="3854" max="3854" width="13.28515625" style="168" bestFit="1" customWidth="1"/>
    <col min="3855" max="3855" width="11.42578125" style="168" customWidth="1"/>
    <col min="3856" max="4089" width="9.28515625" style="168"/>
    <col min="4090" max="4090" width="7.7109375" style="168" customWidth="1"/>
    <col min="4091" max="4091" width="59.42578125" style="168" customWidth="1"/>
    <col min="4092" max="4092" width="14.5703125" style="168" bestFit="1" customWidth="1"/>
    <col min="4093" max="4093" width="9.140625" style="168" customWidth="1"/>
    <col min="4094" max="4096" width="0" style="168" hidden="1" customWidth="1"/>
    <col min="4097" max="4097" width="6.7109375" style="168" customWidth="1"/>
    <col min="4098" max="4098" width="7.28515625" style="168" customWidth="1"/>
    <col min="4099" max="4099" width="75.7109375" style="168" customWidth="1"/>
    <col min="4100" max="4100" width="18.5703125" style="168" customWidth="1"/>
    <col min="4101" max="4101" width="9.7109375" style="168" customWidth="1"/>
    <col min="4102" max="4102" width="3.28515625" style="168" customWidth="1"/>
    <col min="4103" max="4103" width="6.42578125" style="168" customWidth="1"/>
    <col min="4104" max="4104" width="66.7109375" style="168" customWidth="1"/>
    <col min="4105" max="4105" width="16.7109375" style="168" customWidth="1"/>
    <col min="4106" max="4107" width="9.28515625" style="168"/>
    <col min="4108" max="4108" width="15.5703125" style="168" bestFit="1" customWidth="1"/>
    <col min="4109" max="4109" width="66.42578125" style="168" bestFit="1" customWidth="1"/>
    <col min="4110" max="4110" width="13.28515625" style="168" bestFit="1" customWidth="1"/>
    <col min="4111" max="4111" width="11.42578125" style="168" customWidth="1"/>
    <col min="4112" max="4345" width="9.28515625" style="168"/>
    <col min="4346" max="4346" width="7.7109375" style="168" customWidth="1"/>
    <col min="4347" max="4347" width="59.42578125" style="168" customWidth="1"/>
    <col min="4348" max="4348" width="14.5703125" style="168" bestFit="1" customWidth="1"/>
    <col min="4349" max="4349" width="9.140625" style="168" customWidth="1"/>
    <col min="4350" max="4352" width="0" style="168" hidden="1" customWidth="1"/>
    <col min="4353" max="4353" width="6.7109375" style="168" customWidth="1"/>
    <col min="4354" max="4354" width="7.28515625" style="168" customWidth="1"/>
    <col min="4355" max="4355" width="75.7109375" style="168" customWidth="1"/>
    <col min="4356" max="4356" width="18.5703125" style="168" customWidth="1"/>
    <col min="4357" max="4357" width="9.7109375" style="168" customWidth="1"/>
    <col min="4358" max="4358" width="3.28515625" style="168" customWidth="1"/>
    <col min="4359" max="4359" width="6.42578125" style="168" customWidth="1"/>
    <col min="4360" max="4360" width="66.7109375" style="168" customWidth="1"/>
    <col min="4361" max="4361" width="16.7109375" style="168" customWidth="1"/>
    <col min="4362" max="4363" width="9.28515625" style="168"/>
    <col min="4364" max="4364" width="15.5703125" style="168" bestFit="1" customWidth="1"/>
    <col min="4365" max="4365" width="66.42578125" style="168" bestFit="1" customWidth="1"/>
    <col min="4366" max="4366" width="13.28515625" style="168" bestFit="1" customWidth="1"/>
    <col min="4367" max="4367" width="11.42578125" style="168" customWidth="1"/>
    <col min="4368" max="4601" width="9.28515625" style="168"/>
    <col min="4602" max="4602" width="7.7109375" style="168" customWidth="1"/>
    <col min="4603" max="4603" width="59.42578125" style="168" customWidth="1"/>
    <col min="4604" max="4604" width="14.5703125" style="168" bestFit="1" customWidth="1"/>
    <col min="4605" max="4605" width="9.140625" style="168" customWidth="1"/>
    <col min="4606" max="4608" width="0" style="168" hidden="1" customWidth="1"/>
    <col min="4609" max="4609" width="6.7109375" style="168" customWidth="1"/>
    <col min="4610" max="4610" width="7.28515625" style="168" customWidth="1"/>
    <col min="4611" max="4611" width="75.7109375" style="168" customWidth="1"/>
    <col min="4612" max="4612" width="18.5703125" style="168" customWidth="1"/>
    <col min="4613" max="4613" width="9.7109375" style="168" customWidth="1"/>
    <col min="4614" max="4614" width="3.28515625" style="168" customWidth="1"/>
    <col min="4615" max="4615" width="6.42578125" style="168" customWidth="1"/>
    <col min="4616" max="4616" width="66.7109375" style="168" customWidth="1"/>
    <col min="4617" max="4617" width="16.7109375" style="168" customWidth="1"/>
    <col min="4618" max="4619" width="9.28515625" style="168"/>
    <col min="4620" max="4620" width="15.5703125" style="168" bestFit="1" customWidth="1"/>
    <col min="4621" max="4621" width="66.42578125" style="168" bestFit="1" customWidth="1"/>
    <col min="4622" max="4622" width="13.28515625" style="168" bestFit="1" customWidth="1"/>
    <col min="4623" max="4623" width="11.42578125" style="168" customWidth="1"/>
    <col min="4624" max="4857" width="9.28515625" style="168"/>
    <col min="4858" max="4858" width="7.7109375" style="168" customWidth="1"/>
    <col min="4859" max="4859" width="59.42578125" style="168" customWidth="1"/>
    <col min="4860" max="4860" width="14.5703125" style="168" bestFit="1" customWidth="1"/>
    <col min="4861" max="4861" width="9.140625" style="168" customWidth="1"/>
    <col min="4862" max="4864" width="0" style="168" hidden="1" customWidth="1"/>
    <col min="4865" max="4865" width="6.7109375" style="168" customWidth="1"/>
    <col min="4866" max="4866" width="7.28515625" style="168" customWidth="1"/>
    <col min="4867" max="4867" width="75.7109375" style="168" customWidth="1"/>
    <col min="4868" max="4868" width="18.5703125" style="168" customWidth="1"/>
    <col min="4869" max="4869" width="9.7109375" style="168" customWidth="1"/>
    <col min="4870" max="4870" width="3.28515625" style="168" customWidth="1"/>
    <col min="4871" max="4871" width="6.42578125" style="168" customWidth="1"/>
    <col min="4872" max="4872" width="66.7109375" style="168" customWidth="1"/>
    <col min="4873" max="4873" width="16.7109375" style="168" customWidth="1"/>
    <col min="4874" max="4875" width="9.28515625" style="168"/>
    <col min="4876" max="4876" width="15.5703125" style="168" bestFit="1" customWidth="1"/>
    <col min="4877" max="4877" width="66.42578125" style="168" bestFit="1" customWidth="1"/>
    <col min="4878" max="4878" width="13.28515625" style="168" bestFit="1" customWidth="1"/>
    <col min="4879" max="4879" width="11.42578125" style="168" customWidth="1"/>
    <col min="4880" max="5113" width="9.28515625" style="168"/>
    <col min="5114" max="5114" width="7.7109375" style="168" customWidth="1"/>
    <col min="5115" max="5115" width="59.42578125" style="168" customWidth="1"/>
    <col min="5116" max="5116" width="14.5703125" style="168" bestFit="1" customWidth="1"/>
    <col min="5117" max="5117" width="9.140625" style="168" customWidth="1"/>
    <col min="5118" max="5120" width="0" style="168" hidden="1" customWidth="1"/>
    <col min="5121" max="5121" width="6.7109375" style="168" customWidth="1"/>
    <col min="5122" max="5122" width="7.28515625" style="168" customWidth="1"/>
    <col min="5123" max="5123" width="75.7109375" style="168" customWidth="1"/>
    <col min="5124" max="5124" width="18.5703125" style="168" customWidth="1"/>
    <col min="5125" max="5125" width="9.7109375" style="168" customWidth="1"/>
    <col min="5126" max="5126" width="3.28515625" style="168" customWidth="1"/>
    <col min="5127" max="5127" width="6.42578125" style="168" customWidth="1"/>
    <col min="5128" max="5128" width="66.7109375" style="168" customWidth="1"/>
    <col min="5129" max="5129" width="16.7109375" style="168" customWidth="1"/>
    <col min="5130" max="5131" width="9.28515625" style="168"/>
    <col min="5132" max="5132" width="15.5703125" style="168" bestFit="1" customWidth="1"/>
    <col min="5133" max="5133" width="66.42578125" style="168" bestFit="1" customWidth="1"/>
    <col min="5134" max="5134" width="13.28515625" style="168" bestFit="1" customWidth="1"/>
    <col min="5135" max="5135" width="11.42578125" style="168" customWidth="1"/>
    <col min="5136" max="5369" width="9.28515625" style="168"/>
    <col min="5370" max="5370" width="7.7109375" style="168" customWidth="1"/>
    <col min="5371" max="5371" width="59.42578125" style="168" customWidth="1"/>
    <col min="5372" max="5372" width="14.5703125" style="168" bestFit="1" customWidth="1"/>
    <col min="5373" max="5373" width="9.140625" style="168" customWidth="1"/>
    <col min="5374" max="5376" width="0" style="168" hidden="1" customWidth="1"/>
    <col min="5377" max="5377" width="6.7109375" style="168" customWidth="1"/>
    <col min="5378" max="5378" width="7.28515625" style="168" customWidth="1"/>
    <col min="5379" max="5379" width="75.7109375" style="168" customWidth="1"/>
    <col min="5380" max="5380" width="18.5703125" style="168" customWidth="1"/>
    <col min="5381" max="5381" width="9.7109375" style="168" customWidth="1"/>
    <col min="5382" max="5382" width="3.28515625" style="168" customWidth="1"/>
    <col min="5383" max="5383" width="6.42578125" style="168" customWidth="1"/>
    <col min="5384" max="5384" width="66.7109375" style="168" customWidth="1"/>
    <col min="5385" max="5385" width="16.7109375" style="168" customWidth="1"/>
    <col min="5386" max="5387" width="9.28515625" style="168"/>
    <col min="5388" max="5388" width="15.5703125" style="168" bestFit="1" customWidth="1"/>
    <col min="5389" max="5389" width="66.42578125" style="168" bestFit="1" customWidth="1"/>
    <col min="5390" max="5390" width="13.28515625" style="168" bestFit="1" customWidth="1"/>
    <col min="5391" max="5391" width="11.42578125" style="168" customWidth="1"/>
    <col min="5392" max="5625" width="9.28515625" style="168"/>
    <col min="5626" max="5626" width="7.7109375" style="168" customWidth="1"/>
    <col min="5627" max="5627" width="59.42578125" style="168" customWidth="1"/>
    <col min="5628" max="5628" width="14.5703125" style="168" bestFit="1" customWidth="1"/>
    <col min="5629" max="5629" width="9.140625" style="168" customWidth="1"/>
    <col min="5630" max="5632" width="0" style="168" hidden="1" customWidth="1"/>
    <col min="5633" max="5633" width="6.7109375" style="168" customWidth="1"/>
    <col min="5634" max="5634" width="7.28515625" style="168" customWidth="1"/>
    <col min="5635" max="5635" width="75.7109375" style="168" customWidth="1"/>
    <col min="5636" max="5636" width="18.5703125" style="168" customWidth="1"/>
    <col min="5637" max="5637" width="9.7109375" style="168" customWidth="1"/>
    <col min="5638" max="5638" width="3.28515625" style="168" customWidth="1"/>
    <col min="5639" max="5639" width="6.42578125" style="168" customWidth="1"/>
    <col min="5640" max="5640" width="66.7109375" style="168" customWidth="1"/>
    <col min="5641" max="5641" width="16.7109375" style="168" customWidth="1"/>
    <col min="5642" max="5643" width="9.28515625" style="168"/>
    <col min="5644" max="5644" width="15.5703125" style="168" bestFit="1" customWidth="1"/>
    <col min="5645" max="5645" width="66.42578125" style="168" bestFit="1" customWidth="1"/>
    <col min="5646" max="5646" width="13.28515625" style="168" bestFit="1" customWidth="1"/>
    <col min="5647" max="5647" width="11.42578125" style="168" customWidth="1"/>
    <col min="5648" max="5881" width="9.28515625" style="168"/>
    <col min="5882" max="5882" width="7.7109375" style="168" customWidth="1"/>
    <col min="5883" max="5883" width="59.42578125" style="168" customWidth="1"/>
    <col min="5884" max="5884" width="14.5703125" style="168" bestFit="1" customWidth="1"/>
    <col min="5885" max="5885" width="9.140625" style="168" customWidth="1"/>
    <col min="5886" max="5888" width="0" style="168" hidden="1" customWidth="1"/>
    <col min="5889" max="5889" width="6.7109375" style="168" customWidth="1"/>
    <col min="5890" max="5890" width="7.28515625" style="168" customWidth="1"/>
    <col min="5891" max="5891" width="75.7109375" style="168" customWidth="1"/>
    <col min="5892" max="5892" width="18.5703125" style="168" customWidth="1"/>
    <col min="5893" max="5893" width="9.7109375" style="168" customWidth="1"/>
    <col min="5894" max="5894" width="3.28515625" style="168" customWidth="1"/>
    <col min="5895" max="5895" width="6.42578125" style="168" customWidth="1"/>
    <col min="5896" max="5896" width="66.7109375" style="168" customWidth="1"/>
    <col min="5897" max="5897" width="16.7109375" style="168" customWidth="1"/>
    <col min="5898" max="5899" width="9.28515625" style="168"/>
    <col min="5900" max="5900" width="15.5703125" style="168" bestFit="1" customWidth="1"/>
    <col min="5901" max="5901" width="66.42578125" style="168" bestFit="1" customWidth="1"/>
    <col min="5902" max="5902" width="13.28515625" style="168" bestFit="1" customWidth="1"/>
    <col min="5903" max="5903" width="11.42578125" style="168" customWidth="1"/>
    <col min="5904" max="6137" width="9.28515625" style="168"/>
    <col min="6138" max="6138" width="7.7109375" style="168" customWidth="1"/>
    <col min="6139" max="6139" width="59.42578125" style="168" customWidth="1"/>
    <col min="6140" max="6140" width="14.5703125" style="168" bestFit="1" customWidth="1"/>
    <col min="6141" max="6141" width="9.140625" style="168" customWidth="1"/>
    <col min="6142" max="6144" width="0" style="168" hidden="1" customWidth="1"/>
    <col min="6145" max="6145" width="6.7109375" style="168" customWidth="1"/>
    <col min="6146" max="6146" width="7.28515625" style="168" customWidth="1"/>
    <col min="6147" max="6147" width="75.7109375" style="168" customWidth="1"/>
    <col min="6148" max="6148" width="18.5703125" style="168" customWidth="1"/>
    <col min="6149" max="6149" width="9.7109375" style="168" customWidth="1"/>
    <col min="6150" max="6150" width="3.28515625" style="168" customWidth="1"/>
    <col min="6151" max="6151" width="6.42578125" style="168" customWidth="1"/>
    <col min="6152" max="6152" width="66.7109375" style="168" customWidth="1"/>
    <col min="6153" max="6153" width="16.7109375" style="168" customWidth="1"/>
    <col min="6154" max="6155" width="9.28515625" style="168"/>
    <col min="6156" max="6156" width="15.5703125" style="168" bestFit="1" customWidth="1"/>
    <col min="6157" max="6157" width="66.42578125" style="168" bestFit="1" customWidth="1"/>
    <col min="6158" max="6158" width="13.28515625" style="168" bestFit="1" customWidth="1"/>
    <col min="6159" max="6159" width="11.42578125" style="168" customWidth="1"/>
    <col min="6160" max="6393" width="9.28515625" style="168"/>
    <col min="6394" max="6394" width="7.7109375" style="168" customWidth="1"/>
    <col min="6395" max="6395" width="59.42578125" style="168" customWidth="1"/>
    <col min="6396" max="6396" width="14.5703125" style="168" bestFit="1" customWidth="1"/>
    <col min="6397" max="6397" width="9.140625" style="168" customWidth="1"/>
    <col min="6398" max="6400" width="0" style="168" hidden="1" customWidth="1"/>
    <col min="6401" max="6401" width="6.7109375" style="168" customWidth="1"/>
    <col min="6402" max="6402" width="7.28515625" style="168" customWidth="1"/>
    <col min="6403" max="6403" width="75.7109375" style="168" customWidth="1"/>
    <col min="6404" max="6404" width="18.5703125" style="168" customWidth="1"/>
    <col min="6405" max="6405" width="9.7109375" style="168" customWidth="1"/>
    <col min="6406" max="6406" width="3.28515625" style="168" customWidth="1"/>
    <col min="6407" max="6407" width="6.42578125" style="168" customWidth="1"/>
    <col min="6408" max="6408" width="66.7109375" style="168" customWidth="1"/>
    <col min="6409" max="6409" width="16.7109375" style="168" customWidth="1"/>
    <col min="6410" max="6411" width="9.28515625" style="168"/>
    <col min="6412" max="6412" width="15.5703125" style="168" bestFit="1" customWidth="1"/>
    <col min="6413" max="6413" width="66.42578125" style="168" bestFit="1" customWidth="1"/>
    <col min="6414" max="6414" width="13.28515625" style="168" bestFit="1" customWidth="1"/>
    <col min="6415" max="6415" width="11.42578125" style="168" customWidth="1"/>
    <col min="6416" max="6649" width="9.28515625" style="168"/>
    <col min="6650" max="6650" width="7.7109375" style="168" customWidth="1"/>
    <col min="6651" max="6651" width="59.42578125" style="168" customWidth="1"/>
    <col min="6652" max="6652" width="14.5703125" style="168" bestFit="1" customWidth="1"/>
    <col min="6653" max="6653" width="9.140625" style="168" customWidth="1"/>
    <col min="6654" max="6656" width="0" style="168" hidden="1" customWidth="1"/>
    <col min="6657" max="6657" width="6.7109375" style="168" customWidth="1"/>
    <col min="6658" max="6658" width="7.28515625" style="168" customWidth="1"/>
    <col min="6659" max="6659" width="75.7109375" style="168" customWidth="1"/>
    <col min="6660" max="6660" width="18.5703125" style="168" customWidth="1"/>
    <col min="6661" max="6661" width="9.7109375" style="168" customWidth="1"/>
    <col min="6662" max="6662" width="3.28515625" style="168" customWidth="1"/>
    <col min="6663" max="6663" width="6.42578125" style="168" customWidth="1"/>
    <col min="6664" max="6664" width="66.7109375" style="168" customWidth="1"/>
    <col min="6665" max="6665" width="16.7109375" style="168" customWidth="1"/>
    <col min="6666" max="6667" width="9.28515625" style="168"/>
    <col min="6668" max="6668" width="15.5703125" style="168" bestFit="1" customWidth="1"/>
    <col min="6669" max="6669" width="66.42578125" style="168" bestFit="1" customWidth="1"/>
    <col min="6670" max="6670" width="13.28515625" style="168" bestFit="1" customWidth="1"/>
    <col min="6671" max="6671" width="11.42578125" style="168" customWidth="1"/>
    <col min="6672" max="6905" width="9.28515625" style="168"/>
    <col min="6906" max="6906" width="7.7109375" style="168" customWidth="1"/>
    <col min="6907" max="6907" width="59.42578125" style="168" customWidth="1"/>
    <col min="6908" max="6908" width="14.5703125" style="168" bestFit="1" customWidth="1"/>
    <col min="6909" max="6909" width="9.140625" style="168" customWidth="1"/>
    <col min="6910" max="6912" width="0" style="168" hidden="1" customWidth="1"/>
    <col min="6913" max="6913" width="6.7109375" style="168" customWidth="1"/>
    <col min="6914" max="6914" width="7.28515625" style="168" customWidth="1"/>
    <col min="6915" max="6915" width="75.7109375" style="168" customWidth="1"/>
    <col min="6916" max="6916" width="18.5703125" style="168" customWidth="1"/>
    <col min="6917" max="6917" width="9.7109375" style="168" customWidth="1"/>
    <col min="6918" max="6918" width="3.28515625" style="168" customWidth="1"/>
    <col min="6919" max="6919" width="6.42578125" style="168" customWidth="1"/>
    <col min="6920" max="6920" width="66.7109375" style="168" customWidth="1"/>
    <col min="6921" max="6921" width="16.7109375" style="168" customWidth="1"/>
    <col min="6922" max="6923" width="9.28515625" style="168"/>
    <col min="6924" max="6924" width="15.5703125" style="168" bestFit="1" customWidth="1"/>
    <col min="6925" max="6925" width="66.42578125" style="168" bestFit="1" customWidth="1"/>
    <col min="6926" max="6926" width="13.28515625" style="168" bestFit="1" customWidth="1"/>
    <col min="6927" max="6927" width="11.42578125" style="168" customWidth="1"/>
    <col min="6928" max="7161" width="9.28515625" style="168"/>
    <col min="7162" max="7162" width="7.7109375" style="168" customWidth="1"/>
    <col min="7163" max="7163" width="59.42578125" style="168" customWidth="1"/>
    <col min="7164" max="7164" width="14.5703125" style="168" bestFit="1" customWidth="1"/>
    <col min="7165" max="7165" width="9.140625" style="168" customWidth="1"/>
    <col min="7166" max="7168" width="0" style="168" hidden="1" customWidth="1"/>
    <col min="7169" max="7169" width="6.7109375" style="168" customWidth="1"/>
    <col min="7170" max="7170" width="7.28515625" style="168" customWidth="1"/>
    <col min="7171" max="7171" width="75.7109375" style="168" customWidth="1"/>
    <col min="7172" max="7172" width="18.5703125" style="168" customWidth="1"/>
    <col min="7173" max="7173" width="9.7109375" style="168" customWidth="1"/>
    <col min="7174" max="7174" width="3.28515625" style="168" customWidth="1"/>
    <col min="7175" max="7175" width="6.42578125" style="168" customWidth="1"/>
    <col min="7176" max="7176" width="66.7109375" style="168" customWidth="1"/>
    <col min="7177" max="7177" width="16.7109375" style="168" customWidth="1"/>
    <col min="7178" max="7179" width="9.28515625" style="168"/>
    <col min="7180" max="7180" width="15.5703125" style="168" bestFit="1" customWidth="1"/>
    <col min="7181" max="7181" width="66.42578125" style="168" bestFit="1" customWidth="1"/>
    <col min="7182" max="7182" width="13.28515625" style="168" bestFit="1" customWidth="1"/>
    <col min="7183" max="7183" width="11.42578125" style="168" customWidth="1"/>
    <col min="7184" max="7417" width="9.28515625" style="168"/>
    <col min="7418" max="7418" width="7.7109375" style="168" customWidth="1"/>
    <col min="7419" max="7419" width="59.42578125" style="168" customWidth="1"/>
    <col min="7420" max="7420" width="14.5703125" style="168" bestFit="1" customWidth="1"/>
    <col min="7421" max="7421" width="9.140625" style="168" customWidth="1"/>
    <col min="7422" max="7424" width="0" style="168" hidden="1" customWidth="1"/>
    <col min="7425" max="7425" width="6.7109375" style="168" customWidth="1"/>
    <col min="7426" max="7426" width="7.28515625" style="168" customWidth="1"/>
    <col min="7427" max="7427" width="75.7109375" style="168" customWidth="1"/>
    <col min="7428" max="7428" width="18.5703125" style="168" customWidth="1"/>
    <col min="7429" max="7429" width="9.7109375" style="168" customWidth="1"/>
    <col min="7430" max="7430" width="3.28515625" style="168" customWidth="1"/>
    <col min="7431" max="7431" width="6.42578125" style="168" customWidth="1"/>
    <col min="7432" max="7432" width="66.7109375" style="168" customWidth="1"/>
    <col min="7433" max="7433" width="16.7109375" style="168" customWidth="1"/>
    <col min="7434" max="7435" width="9.28515625" style="168"/>
    <col min="7436" max="7436" width="15.5703125" style="168" bestFit="1" customWidth="1"/>
    <col min="7437" max="7437" width="66.42578125" style="168" bestFit="1" customWidth="1"/>
    <col min="7438" max="7438" width="13.28515625" style="168" bestFit="1" customWidth="1"/>
    <col min="7439" max="7439" width="11.42578125" style="168" customWidth="1"/>
    <col min="7440" max="7673" width="9.28515625" style="168"/>
    <col min="7674" max="7674" width="7.7109375" style="168" customWidth="1"/>
    <col min="7675" max="7675" width="59.42578125" style="168" customWidth="1"/>
    <col min="7676" max="7676" width="14.5703125" style="168" bestFit="1" customWidth="1"/>
    <col min="7677" max="7677" width="9.140625" style="168" customWidth="1"/>
    <col min="7678" max="7680" width="0" style="168" hidden="1" customWidth="1"/>
    <col min="7681" max="7681" width="6.7109375" style="168" customWidth="1"/>
    <col min="7682" max="7682" width="7.28515625" style="168" customWidth="1"/>
    <col min="7683" max="7683" width="75.7109375" style="168" customWidth="1"/>
    <col min="7684" max="7684" width="18.5703125" style="168" customWidth="1"/>
    <col min="7685" max="7685" width="9.7109375" style="168" customWidth="1"/>
    <col min="7686" max="7686" width="3.28515625" style="168" customWidth="1"/>
    <col min="7687" max="7687" width="6.42578125" style="168" customWidth="1"/>
    <col min="7688" max="7688" width="66.7109375" style="168" customWidth="1"/>
    <col min="7689" max="7689" width="16.7109375" style="168" customWidth="1"/>
    <col min="7690" max="7691" width="9.28515625" style="168"/>
    <col min="7692" max="7692" width="15.5703125" style="168" bestFit="1" customWidth="1"/>
    <col min="7693" max="7693" width="66.42578125" style="168" bestFit="1" customWidth="1"/>
    <col min="7694" max="7694" width="13.28515625" style="168" bestFit="1" customWidth="1"/>
    <col min="7695" max="7695" width="11.42578125" style="168" customWidth="1"/>
    <col min="7696" max="7929" width="9.28515625" style="168"/>
    <col min="7930" max="7930" width="7.7109375" style="168" customWidth="1"/>
    <col min="7931" max="7931" width="59.42578125" style="168" customWidth="1"/>
    <col min="7932" max="7932" width="14.5703125" style="168" bestFit="1" customWidth="1"/>
    <col min="7933" max="7933" width="9.140625" style="168" customWidth="1"/>
    <col min="7934" max="7936" width="0" style="168" hidden="1" customWidth="1"/>
    <col min="7937" max="7937" width="6.7109375" style="168" customWidth="1"/>
    <col min="7938" max="7938" width="7.28515625" style="168" customWidth="1"/>
    <col min="7939" max="7939" width="75.7109375" style="168" customWidth="1"/>
    <col min="7940" max="7940" width="18.5703125" style="168" customWidth="1"/>
    <col min="7941" max="7941" width="9.7109375" style="168" customWidth="1"/>
    <col min="7942" max="7942" width="3.28515625" style="168" customWidth="1"/>
    <col min="7943" max="7943" width="6.42578125" style="168" customWidth="1"/>
    <col min="7944" max="7944" width="66.7109375" style="168" customWidth="1"/>
    <col min="7945" max="7945" width="16.7109375" style="168" customWidth="1"/>
    <col min="7946" max="7947" width="9.28515625" style="168"/>
    <col min="7948" max="7948" width="15.5703125" style="168" bestFit="1" customWidth="1"/>
    <col min="7949" max="7949" width="66.42578125" style="168" bestFit="1" customWidth="1"/>
    <col min="7950" max="7950" width="13.28515625" style="168" bestFit="1" customWidth="1"/>
    <col min="7951" max="7951" width="11.42578125" style="168" customWidth="1"/>
    <col min="7952" max="8185" width="9.28515625" style="168"/>
    <col min="8186" max="8186" width="7.7109375" style="168" customWidth="1"/>
    <col min="8187" max="8187" width="59.42578125" style="168" customWidth="1"/>
    <col min="8188" max="8188" width="14.5703125" style="168" bestFit="1" customWidth="1"/>
    <col min="8189" max="8189" width="9.140625" style="168" customWidth="1"/>
    <col min="8190" max="8192" width="0" style="168" hidden="1" customWidth="1"/>
    <col min="8193" max="8193" width="6.7109375" style="168" customWidth="1"/>
    <col min="8194" max="8194" width="7.28515625" style="168" customWidth="1"/>
    <col min="8195" max="8195" width="75.7109375" style="168" customWidth="1"/>
    <col min="8196" max="8196" width="18.5703125" style="168" customWidth="1"/>
    <col min="8197" max="8197" width="9.7109375" style="168" customWidth="1"/>
    <col min="8198" max="8198" width="3.28515625" style="168" customWidth="1"/>
    <col min="8199" max="8199" width="6.42578125" style="168" customWidth="1"/>
    <col min="8200" max="8200" width="66.7109375" style="168" customWidth="1"/>
    <col min="8201" max="8201" width="16.7109375" style="168" customWidth="1"/>
    <col min="8202" max="8203" width="9.28515625" style="168"/>
    <col min="8204" max="8204" width="15.5703125" style="168" bestFit="1" customWidth="1"/>
    <col min="8205" max="8205" width="66.42578125" style="168" bestFit="1" customWidth="1"/>
    <col min="8206" max="8206" width="13.28515625" style="168" bestFit="1" customWidth="1"/>
    <col min="8207" max="8207" width="11.42578125" style="168" customWidth="1"/>
    <col min="8208" max="8441" width="9.28515625" style="168"/>
    <col min="8442" max="8442" width="7.7109375" style="168" customWidth="1"/>
    <col min="8443" max="8443" width="59.42578125" style="168" customWidth="1"/>
    <col min="8444" max="8444" width="14.5703125" style="168" bestFit="1" customWidth="1"/>
    <col min="8445" max="8445" width="9.140625" style="168" customWidth="1"/>
    <col min="8446" max="8448" width="0" style="168" hidden="1" customWidth="1"/>
    <col min="8449" max="8449" width="6.7109375" style="168" customWidth="1"/>
    <col min="8450" max="8450" width="7.28515625" style="168" customWidth="1"/>
    <col min="8451" max="8451" width="75.7109375" style="168" customWidth="1"/>
    <col min="8452" max="8452" width="18.5703125" style="168" customWidth="1"/>
    <col min="8453" max="8453" width="9.7109375" style="168" customWidth="1"/>
    <col min="8454" max="8454" width="3.28515625" style="168" customWidth="1"/>
    <col min="8455" max="8455" width="6.42578125" style="168" customWidth="1"/>
    <col min="8456" max="8456" width="66.7109375" style="168" customWidth="1"/>
    <col min="8457" max="8457" width="16.7109375" style="168" customWidth="1"/>
    <col min="8458" max="8459" width="9.28515625" style="168"/>
    <col min="8460" max="8460" width="15.5703125" style="168" bestFit="1" customWidth="1"/>
    <col min="8461" max="8461" width="66.42578125" style="168" bestFit="1" customWidth="1"/>
    <col min="8462" max="8462" width="13.28515625" style="168" bestFit="1" customWidth="1"/>
    <col min="8463" max="8463" width="11.42578125" style="168" customWidth="1"/>
    <col min="8464" max="8697" width="9.28515625" style="168"/>
    <col min="8698" max="8698" width="7.7109375" style="168" customWidth="1"/>
    <col min="8699" max="8699" width="59.42578125" style="168" customWidth="1"/>
    <col min="8700" max="8700" width="14.5703125" style="168" bestFit="1" customWidth="1"/>
    <col min="8701" max="8701" width="9.140625" style="168" customWidth="1"/>
    <col min="8702" max="8704" width="0" style="168" hidden="1" customWidth="1"/>
    <col min="8705" max="8705" width="6.7109375" style="168" customWidth="1"/>
    <col min="8706" max="8706" width="7.28515625" style="168" customWidth="1"/>
    <col min="8707" max="8707" width="75.7109375" style="168" customWidth="1"/>
    <col min="8708" max="8708" width="18.5703125" style="168" customWidth="1"/>
    <col min="8709" max="8709" width="9.7109375" style="168" customWidth="1"/>
    <col min="8710" max="8710" width="3.28515625" style="168" customWidth="1"/>
    <col min="8711" max="8711" width="6.42578125" style="168" customWidth="1"/>
    <col min="8712" max="8712" width="66.7109375" style="168" customWidth="1"/>
    <col min="8713" max="8713" width="16.7109375" style="168" customWidth="1"/>
    <col min="8714" max="8715" width="9.28515625" style="168"/>
    <col min="8716" max="8716" width="15.5703125" style="168" bestFit="1" customWidth="1"/>
    <col min="8717" max="8717" width="66.42578125" style="168" bestFit="1" customWidth="1"/>
    <col min="8718" max="8718" width="13.28515625" style="168" bestFit="1" customWidth="1"/>
    <col min="8719" max="8719" width="11.42578125" style="168" customWidth="1"/>
    <col min="8720" max="8953" width="9.28515625" style="168"/>
    <col min="8954" max="8954" width="7.7109375" style="168" customWidth="1"/>
    <col min="8955" max="8955" width="59.42578125" style="168" customWidth="1"/>
    <col min="8956" max="8956" width="14.5703125" style="168" bestFit="1" customWidth="1"/>
    <col min="8957" max="8957" width="9.140625" style="168" customWidth="1"/>
    <col min="8958" max="8960" width="0" style="168" hidden="1" customWidth="1"/>
    <col min="8961" max="8961" width="6.7109375" style="168" customWidth="1"/>
    <col min="8962" max="8962" width="7.28515625" style="168" customWidth="1"/>
    <col min="8963" max="8963" width="75.7109375" style="168" customWidth="1"/>
    <col min="8964" max="8964" width="18.5703125" style="168" customWidth="1"/>
    <col min="8965" max="8965" width="9.7109375" style="168" customWidth="1"/>
    <col min="8966" max="8966" width="3.28515625" style="168" customWidth="1"/>
    <col min="8967" max="8967" width="6.42578125" style="168" customWidth="1"/>
    <col min="8968" max="8968" width="66.7109375" style="168" customWidth="1"/>
    <col min="8969" max="8969" width="16.7109375" style="168" customWidth="1"/>
    <col min="8970" max="8971" width="9.28515625" style="168"/>
    <col min="8972" max="8972" width="15.5703125" style="168" bestFit="1" customWidth="1"/>
    <col min="8973" max="8973" width="66.42578125" style="168" bestFit="1" customWidth="1"/>
    <col min="8974" max="8974" width="13.28515625" style="168" bestFit="1" customWidth="1"/>
    <col min="8975" max="8975" width="11.42578125" style="168" customWidth="1"/>
    <col min="8976" max="9209" width="9.28515625" style="168"/>
    <col min="9210" max="9210" width="7.7109375" style="168" customWidth="1"/>
    <col min="9211" max="9211" width="59.42578125" style="168" customWidth="1"/>
    <col min="9212" max="9212" width="14.5703125" style="168" bestFit="1" customWidth="1"/>
    <col min="9213" max="9213" width="9.140625" style="168" customWidth="1"/>
    <col min="9214" max="9216" width="0" style="168" hidden="1" customWidth="1"/>
    <col min="9217" max="9217" width="6.7109375" style="168" customWidth="1"/>
    <col min="9218" max="9218" width="7.28515625" style="168" customWidth="1"/>
    <col min="9219" max="9219" width="75.7109375" style="168" customWidth="1"/>
    <col min="9220" max="9220" width="18.5703125" style="168" customWidth="1"/>
    <col min="9221" max="9221" width="9.7109375" style="168" customWidth="1"/>
    <col min="9222" max="9222" width="3.28515625" style="168" customWidth="1"/>
    <col min="9223" max="9223" width="6.42578125" style="168" customWidth="1"/>
    <col min="9224" max="9224" width="66.7109375" style="168" customWidth="1"/>
    <col min="9225" max="9225" width="16.7109375" style="168" customWidth="1"/>
    <col min="9226" max="9227" width="9.28515625" style="168"/>
    <col min="9228" max="9228" width="15.5703125" style="168" bestFit="1" customWidth="1"/>
    <col min="9229" max="9229" width="66.42578125" style="168" bestFit="1" customWidth="1"/>
    <col min="9230" max="9230" width="13.28515625" style="168" bestFit="1" customWidth="1"/>
    <col min="9231" max="9231" width="11.42578125" style="168" customWidth="1"/>
    <col min="9232" max="9465" width="9.28515625" style="168"/>
    <col min="9466" max="9466" width="7.7109375" style="168" customWidth="1"/>
    <col min="9467" max="9467" width="59.42578125" style="168" customWidth="1"/>
    <col min="9468" max="9468" width="14.5703125" style="168" bestFit="1" customWidth="1"/>
    <col min="9469" max="9469" width="9.140625" style="168" customWidth="1"/>
    <col min="9470" max="9472" width="0" style="168" hidden="1" customWidth="1"/>
    <col min="9473" max="9473" width="6.7109375" style="168" customWidth="1"/>
    <col min="9474" max="9474" width="7.28515625" style="168" customWidth="1"/>
    <col min="9475" max="9475" width="75.7109375" style="168" customWidth="1"/>
    <col min="9476" max="9476" width="18.5703125" style="168" customWidth="1"/>
    <col min="9477" max="9477" width="9.7109375" style="168" customWidth="1"/>
    <col min="9478" max="9478" width="3.28515625" style="168" customWidth="1"/>
    <col min="9479" max="9479" width="6.42578125" style="168" customWidth="1"/>
    <col min="9480" max="9480" width="66.7109375" style="168" customWidth="1"/>
    <col min="9481" max="9481" width="16.7109375" style="168" customWidth="1"/>
    <col min="9482" max="9483" width="9.28515625" style="168"/>
    <col min="9484" max="9484" width="15.5703125" style="168" bestFit="1" customWidth="1"/>
    <col min="9485" max="9485" width="66.42578125" style="168" bestFit="1" customWidth="1"/>
    <col min="9486" max="9486" width="13.28515625" style="168" bestFit="1" customWidth="1"/>
    <col min="9487" max="9487" width="11.42578125" style="168" customWidth="1"/>
    <col min="9488" max="9721" width="9.28515625" style="168"/>
    <col min="9722" max="9722" width="7.7109375" style="168" customWidth="1"/>
    <col min="9723" max="9723" width="59.42578125" style="168" customWidth="1"/>
    <col min="9724" max="9724" width="14.5703125" style="168" bestFit="1" customWidth="1"/>
    <col min="9725" max="9725" width="9.140625" style="168" customWidth="1"/>
    <col min="9726" max="9728" width="0" style="168" hidden="1" customWidth="1"/>
    <col min="9729" max="9729" width="6.7109375" style="168" customWidth="1"/>
    <col min="9730" max="9730" width="7.28515625" style="168" customWidth="1"/>
    <col min="9731" max="9731" width="75.7109375" style="168" customWidth="1"/>
    <col min="9732" max="9732" width="18.5703125" style="168" customWidth="1"/>
    <col min="9733" max="9733" width="9.7109375" style="168" customWidth="1"/>
    <col min="9734" max="9734" width="3.28515625" style="168" customWidth="1"/>
    <col min="9735" max="9735" width="6.42578125" style="168" customWidth="1"/>
    <col min="9736" max="9736" width="66.7109375" style="168" customWidth="1"/>
    <col min="9737" max="9737" width="16.7109375" style="168" customWidth="1"/>
    <col min="9738" max="9739" width="9.28515625" style="168"/>
    <col min="9740" max="9740" width="15.5703125" style="168" bestFit="1" customWidth="1"/>
    <col min="9741" max="9741" width="66.42578125" style="168" bestFit="1" customWidth="1"/>
    <col min="9742" max="9742" width="13.28515625" style="168" bestFit="1" customWidth="1"/>
    <col min="9743" max="9743" width="11.42578125" style="168" customWidth="1"/>
    <col min="9744" max="9977" width="9.28515625" style="168"/>
    <col min="9978" max="9978" width="7.7109375" style="168" customWidth="1"/>
    <col min="9979" max="9979" width="59.42578125" style="168" customWidth="1"/>
    <col min="9980" max="9980" width="14.5703125" style="168" bestFit="1" customWidth="1"/>
    <col min="9981" max="9981" width="9.140625" style="168" customWidth="1"/>
    <col min="9982" max="9984" width="0" style="168" hidden="1" customWidth="1"/>
    <col min="9985" max="9985" width="6.7109375" style="168" customWidth="1"/>
    <col min="9986" max="9986" width="7.28515625" style="168" customWidth="1"/>
    <col min="9987" max="9987" width="75.7109375" style="168" customWidth="1"/>
    <col min="9988" max="9988" width="18.5703125" style="168" customWidth="1"/>
    <col min="9989" max="9989" width="9.7109375" style="168" customWidth="1"/>
    <col min="9990" max="9990" width="3.28515625" style="168" customWidth="1"/>
    <col min="9991" max="9991" width="6.42578125" style="168" customWidth="1"/>
    <col min="9992" max="9992" width="66.7109375" style="168" customWidth="1"/>
    <col min="9993" max="9993" width="16.7109375" style="168" customWidth="1"/>
    <col min="9994" max="9995" width="9.28515625" style="168"/>
    <col min="9996" max="9996" width="15.5703125" style="168" bestFit="1" customWidth="1"/>
    <col min="9997" max="9997" width="66.42578125" style="168" bestFit="1" customWidth="1"/>
    <col min="9998" max="9998" width="13.28515625" style="168" bestFit="1" customWidth="1"/>
    <col min="9999" max="9999" width="11.42578125" style="168" customWidth="1"/>
    <col min="10000" max="10233" width="9.28515625" style="168"/>
    <col min="10234" max="10234" width="7.7109375" style="168" customWidth="1"/>
    <col min="10235" max="10235" width="59.42578125" style="168" customWidth="1"/>
    <col min="10236" max="10236" width="14.5703125" style="168" bestFit="1" customWidth="1"/>
    <col min="10237" max="10237" width="9.140625" style="168" customWidth="1"/>
    <col min="10238" max="10240" width="0" style="168" hidden="1" customWidth="1"/>
    <col min="10241" max="10241" width="6.7109375" style="168" customWidth="1"/>
    <col min="10242" max="10242" width="7.28515625" style="168" customWidth="1"/>
    <col min="10243" max="10243" width="75.7109375" style="168" customWidth="1"/>
    <col min="10244" max="10244" width="18.5703125" style="168" customWidth="1"/>
    <col min="10245" max="10245" width="9.7109375" style="168" customWidth="1"/>
    <col min="10246" max="10246" width="3.28515625" style="168" customWidth="1"/>
    <col min="10247" max="10247" width="6.42578125" style="168" customWidth="1"/>
    <col min="10248" max="10248" width="66.7109375" style="168" customWidth="1"/>
    <col min="10249" max="10249" width="16.7109375" style="168" customWidth="1"/>
    <col min="10250" max="10251" width="9.28515625" style="168"/>
    <col min="10252" max="10252" width="15.5703125" style="168" bestFit="1" customWidth="1"/>
    <col min="10253" max="10253" width="66.42578125" style="168" bestFit="1" customWidth="1"/>
    <col min="10254" max="10254" width="13.28515625" style="168" bestFit="1" customWidth="1"/>
    <col min="10255" max="10255" width="11.42578125" style="168" customWidth="1"/>
    <col min="10256" max="10489" width="9.28515625" style="168"/>
    <col min="10490" max="10490" width="7.7109375" style="168" customWidth="1"/>
    <col min="10491" max="10491" width="59.42578125" style="168" customWidth="1"/>
    <col min="10492" max="10492" width="14.5703125" style="168" bestFit="1" customWidth="1"/>
    <col min="10493" max="10493" width="9.140625" style="168" customWidth="1"/>
    <col min="10494" max="10496" width="0" style="168" hidden="1" customWidth="1"/>
    <col min="10497" max="10497" width="6.7109375" style="168" customWidth="1"/>
    <col min="10498" max="10498" width="7.28515625" style="168" customWidth="1"/>
    <col min="10499" max="10499" width="75.7109375" style="168" customWidth="1"/>
    <col min="10500" max="10500" width="18.5703125" style="168" customWidth="1"/>
    <col min="10501" max="10501" width="9.7109375" style="168" customWidth="1"/>
    <col min="10502" max="10502" width="3.28515625" style="168" customWidth="1"/>
    <col min="10503" max="10503" width="6.42578125" style="168" customWidth="1"/>
    <col min="10504" max="10504" width="66.7109375" style="168" customWidth="1"/>
    <col min="10505" max="10505" width="16.7109375" style="168" customWidth="1"/>
    <col min="10506" max="10507" width="9.28515625" style="168"/>
    <col min="10508" max="10508" width="15.5703125" style="168" bestFit="1" customWidth="1"/>
    <col min="10509" max="10509" width="66.42578125" style="168" bestFit="1" customWidth="1"/>
    <col min="10510" max="10510" width="13.28515625" style="168" bestFit="1" customWidth="1"/>
    <col min="10511" max="10511" width="11.42578125" style="168" customWidth="1"/>
    <col min="10512" max="10745" width="9.28515625" style="168"/>
    <col min="10746" max="10746" width="7.7109375" style="168" customWidth="1"/>
    <col min="10747" max="10747" width="59.42578125" style="168" customWidth="1"/>
    <col min="10748" max="10748" width="14.5703125" style="168" bestFit="1" customWidth="1"/>
    <col min="10749" max="10749" width="9.140625" style="168" customWidth="1"/>
    <col min="10750" max="10752" width="0" style="168" hidden="1" customWidth="1"/>
    <col min="10753" max="10753" width="6.7109375" style="168" customWidth="1"/>
    <col min="10754" max="10754" width="7.28515625" style="168" customWidth="1"/>
    <col min="10755" max="10755" width="75.7109375" style="168" customWidth="1"/>
    <col min="10756" max="10756" width="18.5703125" style="168" customWidth="1"/>
    <col min="10757" max="10757" width="9.7109375" style="168" customWidth="1"/>
    <col min="10758" max="10758" width="3.28515625" style="168" customWidth="1"/>
    <col min="10759" max="10759" width="6.42578125" style="168" customWidth="1"/>
    <col min="10760" max="10760" width="66.7109375" style="168" customWidth="1"/>
    <col min="10761" max="10761" width="16.7109375" style="168" customWidth="1"/>
    <col min="10762" max="10763" width="9.28515625" style="168"/>
    <col min="10764" max="10764" width="15.5703125" style="168" bestFit="1" customWidth="1"/>
    <col min="10765" max="10765" width="66.42578125" style="168" bestFit="1" customWidth="1"/>
    <col min="10766" max="10766" width="13.28515625" style="168" bestFit="1" customWidth="1"/>
    <col min="10767" max="10767" width="11.42578125" style="168" customWidth="1"/>
    <col min="10768" max="11001" width="9.28515625" style="168"/>
    <col min="11002" max="11002" width="7.7109375" style="168" customWidth="1"/>
    <col min="11003" max="11003" width="59.42578125" style="168" customWidth="1"/>
    <col min="11004" max="11004" width="14.5703125" style="168" bestFit="1" customWidth="1"/>
    <col min="11005" max="11005" width="9.140625" style="168" customWidth="1"/>
    <col min="11006" max="11008" width="0" style="168" hidden="1" customWidth="1"/>
    <col min="11009" max="11009" width="6.7109375" style="168" customWidth="1"/>
    <col min="11010" max="11010" width="7.28515625" style="168" customWidth="1"/>
    <col min="11011" max="11011" width="75.7109375" style="168" customWidth="1"/>
    <col min="11012" max="11012" width="18.5703125" style="168" customWidth="1"/>
    <col min="11013" max="11013" width="9.7109375" style="168" customWidth="1"/>
    <col min="11014" max="11014" width="3.28515625" style="168" customWidth="1"/>
    <col min="11015" max="11015" width="6.42578125" style="168" customWidth="1"/>
    <col min="11016" max="11016" width="66.7109375" style="168" customWidth="1"/>
    <col min="11017" max="11017" width="16.7109375" style="168" customWidth="1"/>
    <col min="11018" max="11019" width="9.28515625" style="168"/>
    <col min="11020" max="11020" width="15.5703125" style="168" bestFit="1" customWidth="1"/>
    <col min="11021" max="11021" width="66.42578125" style="168" bestFit="1" customWidth="1"/>
    <col min="11022" max="11022" width="13.28515625" style="168" bestFit="1" customWidth="1"/>
    <col min="11023" max="11023" width="11.42578125" style="168" customWidth="1"/>
    <col min="11024" max="11257" width="9.28515625" style="168"/>
    <col min="11258" max="11258" width="7.7109375" style="168" customWidth="1"/>
    <col min="11259" max="11259" width="59.42578125" style="168" customWidth="1"/>
    <col min="11260" max="11260" width="14.5703125" style="168" bestFit="1" customWidth="1"/>
    <col min="11261" max="11261" width="9.140625" style="168" customWidth="1"/>
    <col min="11262" max="11264" width="0" style="168" hidden="1" customWidth="1"/>
    <col min="11265" max="11265" width="6.7109375" style="168" customWidth="1"/>
    <col min="11266" max="11266" width="7.28515625" style="168" customWidth="1"/>
    <col min="11267" max="11267" width="75.7109375" style="168" customWidth="1"/>
    <col min="11268" max="11268" width="18.5703125" style="168" customWidth="1"/>
    <col min="11269" max="11269" width="9.7109375" style="168" customWidth="1"/>
    <col min="11270" max="11270" width="3.28515625" style="168" customWidth="1"/>
    <col min="11271" max="11271" width="6.42578125" style="168" customWidth="1"/>
    <col min="11272" max="11272" width="66.7109375" style="168" customWidth="1"/>
    <col min="11273" max="11273" width="16.7109375" style="168" customWidth="1"/>
    <col min="11274" max="11275" width="9.28515625" style="168"/>
    <col min="11276" max="11276" width="15.5703125" style="168" bestFit="1" customWidth="1"/>
    <col min="11277" max="11277" width="66.42578125" style="168" bestFit="1" customWidth="1"/>
    <col min="11278" max="11278" width="13.28515625" style="168" bestFit="1" customWidth="1"/>
    <col min="11279" max="11279" width="11.42578125" style="168" customWidth="1"/>
    <col min="11280" max="11513" width="9.28515625" style="168"/>
    <col min="11514" max="11514" width="7.7109375" style="168" customWidth="1"/>
    <col min="11515" max="11515" width="59.42578125" style="168" customWidth="1"/>
    <col min="11516" max="11516" width="14.5703125" style="168" bestFit="1" customWidth="1"/>
    <col min="11517" max="11517" width="9.140625" style="168" customWidth="1"/>
    <col min="11518" max="11520" width="0" style="168" hidden="1" customWidth="1"/>
    <col min="11521" max="11521" width="6.7109375" style="168" customWidth="1"/>
    <col min="11522" max="11522" width="7.28515625" style="168" customWidth="1"/>
    <col min="11523" max="11523" width="75.7109375" style="168" customWidth="1"/>
    <col min="11524" max="11524" width="18.5703125" style="168" customWidth="1"/>
    <col min="11525" max="11525" width="9.7109375" style="168" customWidth="1"/>
    <col min="11526" max="11526" width="3.28515625" style="168" customWidth="1"/>
    <col min="11527" max="11527" width="6.42578125" style="168" customWidth="1"/>
    <col min="11528" max="11528" width="66.7109375" style="168" customWidth="1"/>
    <col min="11529" max="11529" width="16.7109375" style="168" customWidth="1"/>
    <col min="11530" max="11531" width="9.28515625" style="168"/>
    <col min="11532" max="11532" width="15.5703125" style="168" bestFit="1" customWidth="1"/>
    <col min="11533" max="11533" width="66.42578125" style="168" bestFit="1" customWidth="1"/>
    <col min="11534" max="11534" width="13.28515625" style="168" bestFit="1" customWidth="1"/>
    <col min="11535" max="11535" width="11.42578125" style="168" customWidth="1"/>
    <col min="11536" max="11769" width="9.28515625" style="168"/>
    <col min="11770" max="11770" width="7.7109375" style="168" customWidth="1"/>
    <col min="11771" max="11771" width="59.42578125" style="168" customWidth="1"/>
    <col min="11772" max="11772" width="14.5703125" style="168" bestFit="1" customWidth="1"/>
    <col min="11773" max="11773" width="9.140625" style="168" customWidth="1"/>
    <col min="11774" max="11776" width="0" style="168" hidden="1" customWidth="1"/>
    <col min="11777" max="11777" width="6.7109375" style="168" customWidth="1"/>
    <col min="11778" max="11778" width="7.28515625" style="168" customWidth="1"/>
    <col min="11779" max="11779" width="75.7109375" style="168" customWidth="1"/>
    <col min="11780" max="11780" width="18.5703125" style="168" customWidth="1"/>
    <col min="11781" max="11781" width="9.7109375" style="168" customWidth="1"/>
    <col min="11782" max="11782" width="3.28515625" style="168" customWidth="1"/>
    <col min="11783" max="11783" width="6.42578125" style="168" customWidth="1"/>
    <col min="11784" max="11784" width="66.7109375" style="168" customWidth="1"/>
    <col min="11785" max="11785" width="16.7109375" style="168" customWidth="1"/>
    <col min="11786" max="11787" width="9.28515625" style="168"/>
    <col min="11788" max="11788" width="15.5703125" style="168" bestFit="1" customWidth="1"/>
    <col min="11789" max="11789" width="66.42578125" style="168" bestFit="1" customWidth="1"/>
    <col min="11790" max="11790" width="13.28515625" style="168" bestFit="1" customWidth="1"/>
    <col min="11791" max="11791" width="11.42578125" style="168" customWidth="1"/>
    <col min="11792" max="12025" width="9.28515625" style="168"/>
    <col min="12026" max="12026" width="7.7109375" style="168" customWidth="1"/>
    <col min="12027" max="12027" width="59.42578125" style="168" customWidth="1"/>
    <col min="12028" max="12028" width="14.5703125" style="168" bestFit="1" customWidth="1"/>
    <col min="12029" max="12029" width="9.140625" style="168" customWidth="1"/>
    <col min="12030" max="12032" width="0" style="168" hidden="1" customWidth="1"/>
    <col min="12033" max="12033" width="6.7109375" style="168" customWidth="1"/>
    <col min="12034" max="12034" width="7.28515625" style="168" customWidth="1"/>
    <col min="12035" max="12035" width="75.7109375" style="168" customWidth="1"/>
    <col min="12036" max="12036" width="18.5703125" style="168" customWidth="1"/>
    <col min="12037" max="12037" width="9.7109375" style="168" customWidth="1"/>
    <col min="12038" max="12038" width="3.28515625" style="168" customWidth="1"/>
    <col min="12039" max="12039" width="6.42578125" style="168" customWidth="1"/>
    <col min="12040" max="12040" width="66.7109375" style="168" customWidth="1"/>
    <col min="12041" max="12041" width="16.7109375" style="168" customWidth="1"/>
    <col min="12042" max="12043" width="9.28515625" style="168"/>
    <col min="12044" max="12044" width="15.5703125" style="168" bestFit="1" customWidth="1"/>
    <col min="12045" max="12045" width="66.42578125" style="168" bestFit="1" customWidth="1"/>
    <col min="12046" max="12046" width="13.28515625" style="168" bestFit="1" customWidth="1"/>
    <col min="12047" max="12047" width="11.42578125" style="168" customWidth="1"/>
    <col min="12048" max="12281" width="9.28515625" style="168"/>
    <col min="12282" max="12282" width="7.7109375" style="168" customWidth="1"/>
    <col min="12283" max="12283" width="59.42578125" style="168" customWidth="1"/>
    <col min="12284" max="12284" width="14.5703125" style="168" bestFit="1" customWidth="1"/>
    <col min="12285" max="12285" width="9.140625" style="168" customWidth="1"/>
    <col min="12286" max="12288" width="0" style="168" hidden="1" customWidth="1"/>
    <col min="12289" max="12289" width="6.7109375" style="168" customWidth="1"/>
    <col min="12290" max="12290" width="7.28515625" style="168" customWidth="1"/>
    <col min="12291" max="12291" width="75.7109375" style="168" customWidth="1"/>
    <col min="12292" max="12292" width="18.5703125" style="168" customWidth="1"/>
    <col min="12293" max="12293" width="9.7109375" style="168" customWidth="1"/>
    <col min="12294" max="12294" width="3.28515625" style="168" customWidth="1"/>
    <col min="12295" max="12295" width="6.42578125" style="168" customWidth="1"/>
    <col min="12296" max="12296" width="66.7109375" style="168" customWidth="1"/>
    <col min="12297" max="12297" width="16.7109375" style="168" customWidth="1"/>
    <col min="12298" max="12299" width="9.28515625" style="168"/>
    <col min="12300" max="12300" width="15.5703125" style="168" bestFit="1" customWidth="1"/>
    <col min="12301" max="12301" width="66.42578125" style="168" bestFit="1" customWidth="1"/>
    <col min="12302" max="12302" width="13.28515625" style="168" bestFit="1" customWidth="1"/>
    <col min="12303" max="12303" width="11.42578125" style="168" customWidth="1"/>
    <col min="12304" max="12537" width="9.28515625" style="168"/>
    <col min="12538" max="12538" width="7.7109375" style="168" customWidth="1"/>
    <col min="12539" max="12539" width="59.42578125" style="168" customWidth="1"/>
    <col min="12540" max="12540" width="14.5703125" style="168" bestFit="1" customWidth="1"/>
    <col min="12541" max="12541" width="9.140625" style="168" customWidth="1"/>
    <col min="12542" max="12544" width="0" style="168" hidden="1" customWidth="1"/>
    <col min="12545" max="12545" width="6.7109375" style="168" customWidth="1"/>
    <col min="12546" max="12546" width="7.28515625" style="168" customWidth="1"/>
    <col min="12547" max="12547" width="75.7109375" style="168" customWidth="1"/>
    <col min="12548" max="12548" width="18.5703125" style="168" customWidth="1"/>
    <col min="12549" max="12549" width="9.7109375" style="168" customWidth="1"/>
    <col min="12550" max="12550" width="3.28515625" style="168" customWidth="1"/>
    <col min="12551" max="12551" width="6.42578125" style="168" customWidth="1"/>
    <col min="12552" max="12552" width="66.7109375" style="168" customWidth="1"/>
    <col min="12553" max="12553" width="16.7109375" style="168" customWidth="1"/>
    <col min="12554" max="12555" width="9.28515625" style="168"/>
    <col min="12556" max="12556" width="15.5703125" style="168" bestFit="1" customWidth="1"/>
    <col min="12557" max="12557" width="66.42578125" style="168" bestFit="1" customWidth="1"/>
    <col min="12558" max="12558" width="13.28515625" style="168" bestFit="1" customWidth="1"/>
    <col min="12559" max="12559" width="11.42578125" style="168" customWidth="1"/>
    <col min="12560" max="12793" width="9.28515625" style="168"/>
    <col min="12794" max="12794" width="7.7109375" style="168" customWidth="1"/>
    <col min="12795" max="12795" width="59.42578125" style="168" customWidth="1"/>
    <col min="12796" max="12796" width="14.5703125" style="168" bestFit="1" customWidth="1"/>
    <col min="12797" max="12797" width="9.140625" style="168" customWidth="1"/>
    <col min="12798" max="12800" width="0" style="168" hidden="1" customWidth="1"/>
    <col min="12801" max="12801" width="6.7109375" style="168" customWidth="1"/>
    <col min="12802" max="12802" width="7.28515625" style="168" customWidth="1"/>
    <col min="12803" max="12803" width="75.7109375" style="168" customWidth="1"/>
    <col min="12804" max="12804" width="18.5703125" style="168" customWidth="1"/>
    <col min="12805" max="12805" width="9.7109375" style="168" customWidth="1"/>
    <col min="12806" max="12806" width="3.28515625" style="168" customWidth="1"/>
    <col min="12807" max="12807" width="6.42578125" style="168" customWidth="1"/>
    <col min="12808" max="12808" width="66.7109375" style="168" customWidth="1"/>
    <col min="12809" max="12809" width="16.7109375" style="168" customWidth="1"/>
    <col min="12810" max="12811" width="9.28515625" style="168"/>
    <col min="12812" max="12812" width="15.5703125" style="168" bestFit="1" customWidth="1"/>
    <col min="12813" max="12813" width="66.42578125" style="168" bestFit="1" customWidth="1"/>
    <col min="12814" max="12814" width="13.28515625" style="168" bestFit="1" customWidth="1"/>
    <col min="12815" max="12815" width="11.42578125" style="168" customWidth="1"/>
    <col min="12816" max="13049" width="9.28515625" style="168"/>
    <col min="13050" max="13050" width="7.7109375" style="168" customWidth="1"/>
    <col min="13051" max="13051" width="59.42578125" style="168" customWidth="1"/>
    <col min="13052" max="13052" width="14.5703125" style="168" bestFit="1" customWidth="1"/>
    <col min="13053" max="13053" width="9.140625" style="168" customWidth="1"/>
    <col min="13054" max="13056" width="0" style="168" hidden="1" customWidth="1"/>
    <col min="13057" max="13057" width="6.7109375" style="168" customWidth="1"/>
    <col min="13058" max="13058" width="7.28515625" style="168" customWidth="1"/>
    <col min="13059" max="13059" width="75.7109375" style="168" customWidth="1"/>
    <col min="13060" max="13060" width="18.5703125" style="168" customWidth="1"/>
    <col min="13061" max="13061" width="9.7109375" style="168" customWidth="1"/>
    <col min="13062" max="13062" width="3.28515625" style="168" customWidth="1"/>
    <col min="13063" max="13063" width="6.42578125" style="168" customWidth="1"/>
    <col min="13064" max="13064" width="66.7109375" style="168" customWidth="1"/>
    <col min="13065" max="13065" width="16.7109375" style="168" customWidth="1"/>
    <col min="13066" max="13067" width="9.28515625" style="168"/>
    <col min="13068" max="13068" width="15.5703125" style="168" bestFit="1" customWidth="1"/>
    <col min="13069" max="13069" width="66.42578125" style="168" bestFit="1" customWidth="1"/>
    <col min="13070" max="13070" width="13.28515625" style="168" bestFit="1" customWidth="1"/>
    <col min="13071" max="13071" width="11.42578125" style="168" customWidth="1"/>
    <col min="13072" max="13305" width="9.28515625" style="168"/>
    <col min="13306" max="13306" width="7.7109375" style="168" customWidth="1"/>
    <col min="13307" max="13307" width="59.42578125" style="168" customWidth="1"/>
    <col min="13308" max="13308" width="14.5703125" style="168" bestFit="1" customWidth="1"/>
    <col min="13309" max="13309" width="9.140625" style="168" customWidth="1"/>
    <col min="13310" max="13312" width="0" style="168" hidden="1" customWidth="1"/>
    <col min="13313" max="13313" width="6.7109375" style="168" customWidth="1"/>
    <col min="13314" max="13314" width="7.28515625" style="168" customWidth="1"/>
    <col min="13315" max="13315" width="75.7109375" style="168" customWidth="1"/>
    <col min="13316" max="13316" width="18.5703125" style="168" customWidth="1"/>
    <col min="13317" max="13317" width="9.7109375" style="168" customWidth="1"/>
    <col min="13318" max="13318" width="3.28515625" style="168" customWidth="1"/>
    <col min="13319" max="13319" width="6.42578125" style="168" customWidth="1"/>
    <col min="13320" max="13320" width="66.7109375" style="168" customWidth="1"/>
    <col min="13321" max="13321" width="16.7109375" style="168" customWidth="1"/>
    <col min="13322" max="13323" width="9.28515625" style="168"/>
    <col min="13324" max="13324" width="15.5703125" style="168" bestFit="1" customWidth="1"/>
    <col min="13325" max="13325" width="66.42578125" style="168" bestFit="1" customWidth="1"/>
    <col min="13326" max="13326" width="13.28515625" style="168" bestFit="1" customWidth="1"/>
    <col min="13327" max="13327" width="11.42578125" style="168" customWidth="1"/>
    <col min="13328" max="13561" width="9.28515625" style="168"/>
    <col min="13562" max="13562" width="7.7109375" style="168" customWidth="1"/>
    <col min="13563" max="13563" width="59.42578125" style="168" customWidth="1"/>
    <col min="13564" max="13564" width="14.5703125" style="168" bestFit="1" customWidth="1"/>
    <col min="13565" max="13565" width="9.140625" style="168" customWidth="1"/>
    <col min="13566" max="13568" width="0" style="168" hidden="1" customWidth="1"/>
    <col min="13569" max="13569" width="6.7109375" style="168" customWidth="1"/>
    <col min="13570" max="13570" width="7.28515625" style="168" customWidth="1"/>
    <col min="13571" max="13571" width="75.7109375" style="168" customWidth="1"/>
    <col min="13572" max="13572" width="18.5703125" style="168" customWidth="1"/>
    <col min="13573" max="13573" width="9.7109375" style="168" customWidth="1"/>
    <col min="13574" max="13574" width="3.28515625" style="168" customWidth="1"/>
    <col min="13575" max="13575" width="6.42578125" style="168" customWidth="1"/>
    <col min="13576" max="13576" width="66.7109375" style="168" customWidth="1"/>
    <col min="13577" max="13577" width="16.7109375" style="168" customWidth="1"/>
    <col min="13578" max="13579" width="9.28515625" style="168"/>
    <col min="13580" max="13580" width="15.5703125" style="168" bestFit="1" customWidth="1"/>
    <col min="13581" max="13581" width="66.42578125" style="168" bestFit="1" customWidth="1"/>
    <col min="13582" max="13582" width="13.28515625" style="168" bestFit="1" customWidth="1"/>
    <col min="13583" max="13583" width="11.42578125" style="168" customWidth="1"/>
    <col min="13584" max="13817" width="9.28515625" style="168"/>
    <col min="13818" max="13818" width="7.7109375" style="168" customWidth="1"/>
    <col min="13819" max="13819" width="59.42578125" style="168" customWidth="1"/>
    <col min="13820" max="13820" width="14.5703125" style="168" bestFit="1" customWidth="1"/>
    <col min="13821" max="13821" width="9.140625" style="168" customWidth="1"/>
    <col min="13822" max="13824" width="0" style="168" hidden="1" customWidth="1"/>
    <col min="13825" max="13825" width="6.7109375" style="168" customWidth="1"/>
    <col min="13826" max="13826" width="7.28515625" style="168" customWidth="1"/>
    <col min="13827" max="13827" width="75.7109375" style="168" customWidth="1"/>
    <col min="13828" max="13828" width="18.5703125" style="168" customWidth="1"/>
    <col min="13829" max="13829" width="9.7109375" style="168" customWidth="1"/>
    <col min="13830" max="13830" width="3.28515625" style="168" customWidth="1"/>
    <col min="13831" max="13831" width="6.42578125" style="168" customWidth="1"/>
    <col min="13832" max="13832" width="66.7109375" style="168" customWidth="1"/>
    <col min="13833" max="13833" width="16.7109375" style="168" customWidth="1"/>
    <col min="13834" max="13835" width="9.28515625" style="168"/>
    <col min="13836" max="13836" width="15.5703125" style="168" bestFit="1" customWidth="1"/>
    <col min="13837" max="13837" width="66.42578125" style="168" bestFit="1" customWidth="1"/>
    <col min="13838" max="13838" width="13.28515625" style="168" bestFit="1" customWidth="1"/>
    <col min="13839" max="13839" width="11.42578125" style="168" customWidth="1"/>
    <col min="13840" max="14073" width="9.28515625" style="168"/>
    <col min="14074" max="14074" width="7.7109375" style="168" customWidth="1"/>
    <col min="14075" max="14075" width="59.42578125" style="168" customWidth="1"/>
    <col min="14076" max="14076" width="14.5703125" style="168" bestFit="1" customWidth="1"/>
    <col min="14077" max="14077" width="9.140625" style="168" customWidth="1"/>
    <col min="14078" max="14080" width="0" style="168" hidden="1" customWidth="1"/>
    <col min="14081" max="14081" width="6.7109375" style="168" customWidth="1"/>
    <col min="14082" max="14082" width="7.28515625" style="168" customWidth="1"/>
    <col min="14083" max="14083" width="75.7109375" style="168" customWidth="1"/>
    <col min="14084" max="14084" width="18.5703125" style="168" customWidth="1"/>
    <col min="14085" max="14085" width="9.7109375" style="168" customWidth="1"/>
    <col min="14086" max="14086" width="3.28515625" style="168" customWidth="1"/>
    <col min="14087" max="14087" width="6.42578125" style="168" customWidth="1"/>
    <col min="14088" max="14088" width="66.7109375" style="168" customWidth="1"/>
    <col min="14089" max="14089" width="16.7109375" style="168" customWidth="1"/>
    <col min="14090" max="14091" width="9.28515625" style="168"/>
    <col min="14092" max="14092" width="15.5703125" style="168" bestFit="1" customWidth="1"/>
    <col min="14093" max="14093" width="66.42578125" style="168" bestFit="1" customWidth="1"/>
    <col min="14094" max="14094" width="13.28515625" style="168" bestFit="1" customWidth="1"/>
    <col min="14095" max="14095" width="11.42578125" style="168" customWidth="1"/>
    <col min="14096" max="14329" width="9.28515625" style="168"/>
    <col min="14330" max="14330" width="7.7109375" style="168" customWidth="1"/>
    <col min="14331" max="14331" width="59.42578125" style="168" customWidth="1"/>
    <col min="14332" max="14332" width="14.5703125" style="168" bestFit="1" customWidth="1"/>
    <col min="14333" max="14333" width="9.140625" style="168" customWidth="1"/>
    <col min="14334" max="14336" width="0" style="168" hidden="1" customWidth="1"/>
    <col min="14337" max="14337" width="6.7109375" style="168" customWidth="1"/>
    <col min="14338" max="14338" width="7.28515625" style="168" customWidth="1"/>
    <col min="14339" max="14339" width="75.7109375" style="168" customWidth="1"/>
    <col min="14340" max="14340" width="18.5703125" style="168" customWidth="1"/>
    <col min="14341" max="14341" width="9.7109375" style="168" customWidth="1"/>
    <col min="14342" max="14342" width="3.28515625" style="168" customWidth="1"/>
    <col min="14343" max="14343" width="6.42578125" style="168" customWidth="1"/>
    <col min="14344" max="14344" width="66.7109375" style="168" customWidth="1"/>
    <col min="14345" max="14345" width="16.7109375" style="168" customWidth="1"/>
    <col min="14346" max="14347" width="9.28515625" style="168"/>
    <col min="14348" max="14348" width="15.5703125" style="168" bestFit="1" customWidth="1"/>
    <col min="14349" max="14349" width="66.42578125" style="168" bestFit="1" customWidth="1"/>
    <col min="14350" max="14350" width="13.28515625" style="168" bestFit="1" customWidth="1"/>
    <col min="14351" max="14351" width="11.42578125" style="168" customWidth="1"/>
    <col min="14352" max="14585" width="9.28515625" style="168"/>
    <col min="14586" max="14586" width="7.7109375" style="168" customWidth="1"/>
    <col min="14587" max="14587" width="59.42578125" style="168" customWidth="1"/>
    <col min="14588" max="14588" width="14.5703125" style="168" bestFit="1" customWidth="1"/>
    <col min="14589" max="14589" width="9.140625" style="168" customWidth="1"/>
    <col min="14590" max="14592" width="0" style="168" hidden="1" customWidth="1"/>
    <col min="14593" max="14593" width="6.7109375" style="168" customWidth="1"/>
    <col min="14594" max="14594" width="7.28515625" style="168" customWidth="1"/>
    <col min="14595" max="14595" width="75.7109375" style="168" customWidth="1"/>
    <col min="14596" max="14596" width="18.5703125" style="168" customWidth="1"/>
    <col min="14597" max="14597" width="9.7109375" style="168" customWidth="1"/>
    <col min="14598" max="14598" width="3.28515625" style="168" customWidth="1"/>
    <col min="14599" max="14599" width="6.42578125" style="168" customWidth="1"/>
    <col min="14600" max="14600" width="66.7109375" style="168" customWidth="1"/>
    <col min="14601" max="14601" width="16.7109375" style="168" customWidth="1"/>
    <col min="14602" max="14603" width="9.28515625" style="168"/>
    <col min="14604" max="14604" width="15.5703125" style="168" bestFit="1" customWidth="1"/>
    <col min="14605" max="14605" width="66.42578125" style="168" bestFit="1" customWidth="1"/>
    <col min="14606" max="14606" width="13.28515625" style="168" bestFit="1" customWidth="1"/>
    <col min="14607" max="14607" width="11.42578125" style="168" customWidth="1"/>
    <col min="14608" max="14841" width="9.28515625" style="168"/>
    <col min="14842" max="14842" width="7.7109375" style="168" customWidth="1"/>
    <col min="14843" max="14843" width="59.42578125" style="168" customWidth="1"/>
    <col min="14844" max="14844" width="14.5703125" style="168" bestFit="1" customWidth="1"/>
    <col min="14845" max="14845" width="9.140625" style="168" customWidth="1"/>
    <col min="14846" max="14848" width="0" style="168" hidden="1" customWidth="1"/>
    <col min="14849" max="14849" width="6.7109375" style="168" customWidth="1"/>
    <col min="14850" max="14850" width="7.28515625" style="168" customWidth="1"/>
    <col min="14851" max="14851" width="75.7109375" style="168" customWidth="1"/>
    <col min="14852" max="14852" width="18.5703125" style="168" customWidth="1"/>
    <col min="14853" max="14853" width="9.7109375" style="168" customWidth="1"/>
    <col min="14854" max="14854" width="3.28515625" style="168" customWidth="1"/>
    <col min="14855" max="14855" width="6.42578125" style="168" customWidth="1"/>
    <col min="14856" max="14856" width="66.7109375" style="168" customWidth="1"/>
    <col min="14857" max="14857" width="16.7109375" style="168" customWidth="1"/>
    <col min="14858" max="14859" width="9.28515625" style="168"/>
    <col min="14860" max="14860" width="15.5703125" style="168" bestFit="1" customWidth="1"/>
    <col min="14861" max="14861" width="66.42578125" style="168" bestFit="1" customWidth="1"/>
    <col min="14862" max="14862" width="13.28515625" style="168" bestFit="1" customWidth="1"/>
    <col min="14863" max="14863" width="11.42578125" style="168" customWidth="1"/>
    <col min="14864" max="15097" width="9.28515625" style="168"/>
    <col min="15098" max="15098" width="7.7109375" style="168" customWidth="1"/>
    <col min="15099" max="15099" width="59.42578125" style="168" customWidth="1"/>
    <col min="15100" max="15100" width="14.5703125" style="168" bestFit="1" customWidth="1"/>
    <col min="15101" max="15101" width="9.140625" style="168" customWidth="1"/>
    <col min="15102" max="15104" width="0" style="168" hidden="1" customWidth="1"/>
    <col min="15105" max="15105" width="6.7109375" style="168" customWidth="1"/>
    <col min="15106" max="15106" width="7.28515625" style="168" customWidth="1"/>
    <col min="15107" max="15107" width="75.7109375" style="168" customWidth="1"/>
    <col min="15108" max="15108" width="18.5703125" style="168" customWidth="1"/>
    <col min="15109" max="15109" width="9.7109375" style="168" customWidth="1"/>
    <col min="15110" max="15110" width="3.28515625" style="168" customWidth="1"/>
    <col min="15111" max="15111" width="6.42578125" style="168" customWidth="1"/>
    <col min="15112" max="15112" width="66.7109375" style="168" customWidth="1"/>
    <col min="15113" max="15113" width="16.7109375" style="168" customWidth="1"/>
    <col min="15114" max="15115" width="9.28515625" style="168"/>
    <col min="15116" max="15116" width="15.5703125" style="168" bestFit="1" customWidth="1"/>
    <col min="15117" max="15117" width="66.42578125" style="168" bestFit="1" customWidth="1"/>
    <col min="15118" max="15118" width="13.28515625" style="168" bestFit="1" customWidth="1"/>
    <col min="15119" max="15119" width="11.42578125" style="168" customWidth="1"/>
    <col min="15120" max="15353" width="9.28515625" style="168"/>
    <col min="15354" max="15354" width="7.7109375" style="168" customWidth="1"/>
    <col min="15355" max="15355" width="59.42578125" style="168" customWidth="1"/>
    <col min="15356" max="15356" width="14.5703125" style="168" bestFit="1" customWidth="1"/>
    <col min="15357" max="15357" width="9.140625" style="168" customWidth="1"/>
    <col min="15358" max="15360" width="0" style="168" hidden="1" customWidth="1"/>
    <col min="15361" max="15361" width="6.7109375" style="168" customWidth="1"/>
    <col min="15362" max="15362" width="7.28515625" style="168" customWidth="1"/>
    <col min="15363" max="15363" width="75.7109375" style="168" customWidth="1"/>
    <col min="15364" max="15364" width="18.5703125" style="168" customWidth="1"/>
    <col min="15365" max="15365" width="9.7109375" style="168" customWidth="1"/>
    <col min="15366" max="15366" width="3.28515625" style="168" customWidth="1"/>
    <col min="15367" max="15367" width="6.42578125" style="168" customWidth="1"/>
    <col min="15368" max="15368" width="66.7109375" style="168" customWidth="1"/>
    <col min="15369" max="15369" width="16.7109375" style="168" customWidth="1"/>
    <col min="15370" max="15371" width="9.28515625" style="168"/>
    <col min="15372" max="15372" width="15.5703125" style="168" bestFit="1" customWidth="1"/>
    <col min="15373" max="15373" width="66.42578125" style="168" bestFit="1" customWidth="1"/>
    <col min="15374" max="15374" width="13.28515625" style="168" bestFit="1" customWidth="1"/>
    <col min="15375" max="15375" width="11.42578125" style="168" customWidth="1"/>
    <col min="15376" max="15609" width="9.28515625" style="168"/>
    <col min="15610" max="15610" width="7.7109375" style="168" customWidth="1"/>
    <col min="15611" max="15611" width="59.42578125" style="168" customWidth="1"/>
    <col min="15612" max="15612" width="14.5703125" style="168" bestFit="1" customWidth="1"/>
    <col min="15613" max="15613" width="9.140625" style="168" customWidth="1"/>
    <col min="15614" max="15616" width="0" style="168" hidden="1" customWidth="1"/>
    <col min="15617" max="15617" width="6.7109375" style="168" customWidth="1"/>
    <col min="15618" max="15618" width="7.28515625" style="168" customWidth="1"/>
    <col min="15619" max="15619" width="75.7109375" style="168" customWidth="1"/>
    <col min="15620" max="15620" width="18.5703125" style="168" customWidth="1"/>
    <col min="15621" max="15621" width="9.7109375" style="168" customWidth="1"/>
    <col min="15622" max="15622" width="3.28515625" style="168" customWidth="1"/>
    <col min="15623" max="15623" width="6.42578125" style="168" customWidth="1"/>
    <col min="15624" max="15624" width="66.7109375" style="168" customWidth="1"/>
    <col min="15625" max="15625" width="16.7109375" style="168" customWidth="1"/>
    <col min="15626" max="15627" width="9.28515625" style="168"/>
    <col min="15628" max="15628" width="15.5703125" style="168" bestFit="1" customWidth="1"/>
    <col min="15629" max="15629" width="66.42578125" style="168" bestFit="1" customWidth="1"/>
    <col min="15630" max="15630" width="13.28515625" style="168" bestFit="1" customWidth="1"/>
    <col min="15631" max="15631" width="11.42578125" style="168" customWidth="1"/>
    <col min="15632" max="15865" width="9.28515625" style="168"/>
    <col min="15866" max="15866" width="7.7109375" style="168" customWidth="1"/>
    <col min="15867" max="15867" width="59.42578125" style="168" customWidth="1"/>
    <col min="15868" max="15868" width="14.5703125" style="168" bestFit="1" customWidth="1"/>
    <col min="15869" max="15869" width="9.140625" style="168" customWidth="1"/>
    <col min="15870" max="15872" width="0" style="168" hidden="1" customWidth="1"/>
    <col min="15873" max="15873" width="6.7109375" style="168" customWidth="1"/>
    <col min="15874" max="15874" width="7.28515625" style="168" customWidth="1"/>
    <col min="15875" max="15875" width="75.7109375" style="168" customWidth="1"/>
    <col min="15876" max="15876" width="18.5703125" style="168" customWidth="1"/>
    <col min="15877" max="15877" width="9.7109375" style="168" customWidth="1"/>
    <col min="15878" max="15878" width="3.28515625" style="168" customWidth="1"/>
    <col min="15879" max="15879" width="6.42578125" style="168" customWidth="1"/>
    <col min="15880" max="15880" width="66.7109375" style="168" customWidth="1"/>
    <col min="15881" max="15881" width="16.7109375" style="168" customWidth="1"/>
    <col min="15882" max="15883" width="9.28515625" style="168"/>
    <col min="15884" max="15884" width="15.5703125" style="168" bestFit="1" customWidth="1"/>
    <col min="15885" max="15885" width="66.42578125" style="168" bestFit="1" customWidth="1"/>
    <col min="15886" max="15886" width="13.28515625" style="168" bestFit="1" customWidth="1"/>
    <col min="15887" max="15887" width="11.42578125" style="168" customWidth="1"/>
    <col min="15888" max="16121" width="9.28515625" style="168"/>
    <col min="16122" max="16122" width="7.7109375" style="168" customWidth="1"/>
    <col min="16123" max="16123" width="59.42578125" style="168" customWidth="1"/>
    <col min="16124" max="16124" width="14.5703125" style="168" bestFit="1" customWidth="1"/>
    <col min="16125" max="16125" width="9.140625" style="168" customWidth="1"/>
    <col min="16126" max="16128" width="0" style="168" hidden="1" customWidth="1"/>
    <col min="16129" max="16129" width="6.7109375" style="168" customWidth="1"/>
    <col min="16130" max="16130" width="7.28515625" style="168" customWidth="1"/>
    <col min="16131" max="16131" width="75.7109375" style="168" customWidth="1"/>
    <col min="16132" max="16132" width="18.5703125" style="168" customWidth="1"/>
    <col min="16133" max="16133" width="9.7109375" style="168" customWidth="1"/>
    <col min="16134" max="16134" width="3.28515625" style="168" customWidth="1"/>
    <col min="16135" max="16135" width="6.42578125" style="168" customWidth="1"/>
    <col min="16136" max="16136" width="66.7109375" style="168" customWidth="1"/>
    <col min="16137" max="16137" width="16.7109375" style="168" customWidth="1"/>
    <col min="16138" max="16139" width="9.28515625" style="168"/>
    <col min="16140" max="16140" width="15.5703125" style="168" bestFit="1" customWidth="1"/>
    <col min="16141" max="16141" width="66.42578125" style="168" bestFit="1" customWidth="1"/>
    <col min="16142" max="16142" width="13.28515625" style="168" bestFit="1" customWidth="1"/>
    <col min="16143" max="16143" width="11.42578125" style="168" customWidth="1"/>
    <col min="16144" max="16384" width="9.28515625" style="168"/>
  </cols>
  <sheetData>
    <row r="1" spans="1:59" s="158" customFormat="1">
      <c r="A1" s="156" t="s">
        <v>105</v>
      </c>
      <c r="B1" s="157"/>
    </row>
    <row r="2" spans="1:59" s="158" customFormat="1">
      <c r="A2" s="159" t="s">
        <v>106</v>
      </c>
      <c r="B2" s="157"/>
    </row>
    <row r="3" spans="1:59" s="158" customFormat="1">
      <c r="A3" s="159"/>
      <c r="B3" s="157"/>
    </row>
    <row r="4" spans="1:59" s="160" customFormat="1">
      <c r="A4" s="159"/>
      <c r="B4" s="190" t="s">
        <v>107</v>
      </c>
      <c r="C4" s="191">
        <f>'Pricelist Standard'!AC9</f>
        <v>8958200</v>
      </c>
      <c r="G4" s="190" t="s">
        <v>107</v>
      </c>
      <c r="H4" s="191">
        <f>'Pricelist Standard'!AC10</f>
        <v>8962700</v>
      </c>
      <c r="L4" s="190" t="s">
        <v>107</v>
      </c>
      <c r="M4" s="191">
        <f>'Pricelist Standard'!AC11</f>
        <v>8963300</v>
      </c>
      <c r="Q4" s="190" t="s">
        <v>107</v>
      </c>
      <c r="R4" s="191">
        <f>'Pricelist Standard'!AC12</f>
        <v>8955200</v>
      </c>
      <c r="V4" s="190" t="s">
        <v>107</v>
      </c>
      <c r="W4" s="191">
        <f>'Pricelist Standard'!AC13</f>
        <v>8947400</v>
      </c>
      <c r="AA4" s="190" t="s">
        <v>107</v>
      </c>
      <c r="AB4" s="191">
        <f>'Pricelist Standard'!AC14</f>
        <v>8939600</v>
      </c>
      <c r="AF4" s="190" t="s">
        <v>107</v>
      </c>
      <c r="AG4" s="191">
        <f>'Pricelist Standard'!AC15</f>
        <v>8931500</v>
      </c>
      <c r="AK4" s="190" t="s">
        <v>107</v>
      </c>
      <c r="AL4" s="191">
        <f>'Pricelist Standard'!AC16</f>
        <v>8900000</v>
      </c>
      <c r="AP4" s="190" t="s">
        <v>107</v>
      </c>
      <c r="AQ4" s="191">
        <f>'Pricelist Standard'!AC17</f>
        <v>8900000</v>
      </c>
      <c r="AU4" s="190" t="s">
        <v>107</v>
      </c>
      <c r="AV4" s="191" t="e">
        <f>'Pricelist Standard'!#REF!</f>
        <v>#REF!</v>
      </c>
    </row>
    <row r="5" spans="1:59" s="194" customFormat="1" ht="13.5" thickBot="1">
      <c r="B5" s="195"/>
      <c r="C5" s="196"/>
      <c r="G5" s="195"/>
      <c r="H5" s="196"/>
      <c r="L5" s="195"/>
      <c r="M5" s="196"/>
      <c r="Q5" s="195"/>
      <c r="R5" s="196"/>
      <c r="V5" s="195"/>
      <c r="W5" s="196"/>
      <c r="AA5" s="195"/>
      <c r="AB5" s="196"/>
      <c r="AF5" s="195"/>
      <c r="AG5" s="196"/>
      <c r="AK5" s="195"/>
      <c r="AL5" s="196"/>
      <c r="AP5" s="195"/>
      <c r="AQ5" s="196"/>
      <c r="AU5" s="195"/>
      <c r="AV5" s="196"/>
    </row>
    <row r="6" spans="1:59" s="161" customFormat="1">
      <c r="A6" s="468" t="s">
        <v>108</v>
      </c>
      <c r="B6" s="468"/>
      <c r="C6" s="468"/>
      <c r="D6" s="468"/>
      <c r="E6" s="162"/>
      <c r="F6" s="465" t="s">
        <v>109</v>
      </c>
      <c r="G6" s="466"/>
      <c r="H6" s="466"/>
      <c r="I6" s="467"/>
      <c r="J6" s="162"/>
      <c r="K6" s="465" t="s">
        <v>110</v>
      </c>
      <c r="L6" s="466"/>
      <c r="M6" s="466"/>
      <c r="N6" s="467"/>
      <c r="O6" s="162"/>
      <c r="P6" s="465" t="s">
        <v>110</v>
      </c>
      <c r="Q6" s="466"/>
      <c r="R6" s="466"/>
      <c r="S6" s="467"/>
      <c r="T6" s="162"/>
      <c r="U6" s="465" t="s">
        <v>110</v>
      </c>
      <c r="V6" s="466"/>
      <c r="W6" s="466"/>
      <c r="X6" s="467"/>
      <c r="Y6" s="162"/>
      <c r="Z6" s="465" t="s">
        <v>110</v>
      </c>
      <c r="AA6" s="466"/>
      <c r="AB6" s="466"/>
      <c r="AC6" s="467"/>
      <c r="AD6" s="162"/>
      <c r="AE6" s="465" t="s">
        <v>110</v>
      </c>
      <c r="AF6" s="466"/>
      <c r="AG6" s="466"/>
      <c r="AH6" s="467"/>
      <c r="AI6" s="162"/>
      <c r="AJ6" s="465" t="s">
        <v>110</v>
      </c>
      <c r="AK6" s="466"/>
      <c r="AL6" s="466"/>
      <c r="AM6" s="467"/>
      <c r="AN6" s="162"/>
      <c r="AO6" s="465" t="s">
        <v>110</v>
      </c>
      <c r="AP6" s="466"/>
      <c r="AQ6" s="466"/>
      <c r="AR6" s="467"/>
      <c r="AS6" s="162"/>
      <c r="AT6" s="465" t="s">
        <v>110</v>
      </c>
      <c r="AU6" s="466"/>
      <c r="AV6" s="466"/>
      <c r="AW6" s="467"/>
      <c r="AX6" s="162"/>
      <c r="AY6" s="162"/>
      <c r="AZ6" s="162"/>
      <c r="BA6" s="162"/>
      <c r="BB6" s="162"/>
      <c r="BC6" s="162"/>
      <c r="BD6" s="162"/>
      <c r="BE6" s="162"/>
      <c r="BF6" s="162"/>
      <c r="BG6" s="162"/>
    </row>
    <row r="7" spans="1:59" s="165" customFormat="1" ht="20.45" customHeight="1">
      <c r="A7" s="469" t="s">
        <v>111</v>
      </c>
      <c r="B7" s="469"/>
      <c r="C7" s="184" t="s">
        <v>112</v>
      </c>
      <c r="D7" s="351"/>
      <c r="E7" s="160"/>
      <c r="F7" s="463" t="s">
        <v>111</v>
      </c>
      <c r="G7" s="464"/>
      <c r="H7" s="163" t="s">
        <v>112</v>
      </c>
      <c r="I7" s="164"/>
      <c r="J7" s="160"/>
      <c r="K7" s="463" t="s">
        <v>111</v>
      </c>
      <c r="L7" s="464"/>
      <c r="M7" s="163" t="s">
        <v>112</v>
      </c>
      <c r="N7" s="164"/>
      <c r="O7" s="160"/>
      <c r="P7" s="463" t="s">
        <v>111</v>
      </c>
      <c r="Q7" s="464"/>
      <c r="R7" s="163" t="s">
        <v>112</v>
      </c>
      <c r="S7" s="164"/>
      <c r="T7" s="160"/>
      <c r="U7" s="463" t="s">
        <v>111</v>
      </c>
      <c r="V7" s="464"/>
      <c r="W7" s="163" t="s">
        <v>112</v>
      </c>
      <c r="X7" s="164"/>
      <c r="Y7" s="160"/>
      <c r="Z7" s="463" t="s">
        <v>111</v>
      </c>
      <c r="AA7" s="464"/>
      <c r="AB7" s="163" t="s">
        <v>112</v>
      </c>
      <c r="AC7" s="164"/>
      <c r="AD7" s="160"/>
      <c r="AE7" s="463" t="s">
        <v>111</v>
      </c>
      <c r="AF7" s="464"/>
      <c r="AG7" s="163" t="s">
        <v>112</v>
      </c>
      <c r="AH7" s="164"/>
      <c r="AI7" s="160"/>
      <c r="AJ7" s="463" t="s">
        <v>111</v>
      </c>
      <c r="AK7" s="464"/>
      <c r="AL7" s="163" t="s">
        <v>112</v>
      </c>
      <c r="AM7" s="164"/>
      <c r="AN7" s="160"/>
      <c r="AO7" s="463" t="s">
        <v>111</v>
      </c>
      <c r="AP7" s="464"/>
      <c r="AQ7" s="163" t="s">
        <v>112</v>
      </c>
      <c r="AR7" s="164"/>
      <c r="AS7" s="160"/>
      <c r="AT7" s="463" t="s">
        <v>111</v>
      </c>
      <c r="AU7" s="464"/>
      <c r="AV7" s="163" t="s">
        <v>112</v>
      </c>
      <c r="AW7" s="164"/>
      <c r="AX7" s="160"/>
      <c r="AY7" s="160"/>
      <c r="AZ7" s="160"/>
      <c r="BA7" s="160"/>
      <c r="BB7" s="160"/>
      <c r="BC7" s="160"/>
      <c r="BD7" s="160"/>
      <c r="BE7" s="160"/>
      <c r="BF7" s="160"/>
      <c r="BG7" s="160"/>
    </row>
    <row r="8" spans="1:59" s="165" customFormat="1">
      <c r="A8" s="180" t="s">
        <v>72</v>
      </c>
      <c r="B8" s="193" t="s">
        <v>42</v>
      </c>
      <c r="C8" s="208"/>
      <c r="D8" s="208"/>
      <c r="E8" s="160"/>
      <c r="F8" s="180" t="s">
        <v>72</v>
      </c>
      <c r="G8" s="167" t="s">
        <v>46</v>
      </c>
      <c r="H8" s="208"/>
      <c r="I8" s="208"/>
      <c r="J8" s="160"/>
      <c r="K8" s="166" t="s">
        <v>72</v>
      </c>
      <c r="L8" s="192" t="s">
        <v>49</v>
      </c>
      <c r="M8" s="209"/>
      <c r="N8" s="210"/>
      <c r="O8" s="160"/>
      <c r="P8" s="166" t="s">
        <v>72</v>
      </c>
      <c r="Q8" s="192" t="s">
        <v>50</v>
      </c>
      <c r="R8" s="209"/>
      <c r="S8" s="210"/>
      <c r="T8" s="160"/>
      <c r="U8" s="166" t="s">
        <v>72</v>
      </c>
      <c r="V8" s="192" t="s">
        <v>51</v>
      </c>
      <c r="W8" s="209"/>
      <c r="X8" s="210"/>
      <c r="Y8" s="160"/>
      <c r="Z8" s="166" t="s">
        <v>72</v>
      </c>
      <c r="AA8" s="192" t="s">
        <v>52</v>
      </c>
      <c r="AB8" s="209"/>
      <c r="AC8" s="210"/>
      <c r="AD8" s="160"/>
      <c r="AE8" s="166" t="s">
        <v>72</v>
      </c>
      <c r="AF8" s="192" t="s">
        <v>53</v>
      </c>
      <c r="AG8" s="209"/>
      <c r="AH8" s="210"/>
      <c r="AI8" s="160"/>
      <c r="AJ8" s="166" t="s">
        <v>72</v>
      </c>
      <c r="AK8" s="192" t="s">
        <v>54</v>
      </c>
      <c r="AL8" s="209"/>
      <c r="AM8" s="210"/>
      <c r="AN8" s="160"/>
      <c r="AO8" s="166" t="s">
        <v>72</v>
      </c>
      <c r="AP8" s="192" t="s">
        <v>55</v>
      </c>
      <c r="AQ8" s="209"/>
      <c r="AR8" s="210"/>
      <c r="AS8" s="160"/>
      <c r="AT8" s="166" t="s">
        <v>72</v>
      </c>
      <c r="AU8" s="192" t="s">
        <v>113</v>
      </c>
      <c r="AV8" s="209"/>
      <c r="AW8" s="210"/>
      <c r="AX8" s="160"/>
      <c r="AY8" s="160"/>
      <c r="AZ8" s="160"/>
      <c r="BA8" s="160"/>
      <c r="BB8" s="160"/>
      <c r="BC8" s="160"/>
      <c r="BD8" s="160"/>
      <c r="BE8" s="160"/>
      <c r="BF8" s="160"/>
      <c r="BG8" s="160"/>
    </row>
    <row r="9" spans="1:59" s="165" customFormat="1">
      <c r="A9" s="180" t="s">
        <v>114</v>
      </c>
      <c r="B9" s="193"/>
      <c r="C9" s="367">
        <v>72</v>
      </c>
      <c r="D9" s="208"/>
      <c r="E9" s="160"/>
      <c r="F9" s="180" t="s">
        <v>114</v>
      </c>
      <c r="G9" s="167"/>
      <c r="H9" s="367">
        <v>72</v>
      </c>
      <c r="I9" s="208"/>
      <c r="J9" s="160"/>
      <c r="K9" s="180" t="s">
        <v>114</v>
      </c>
      <c r="L9" s="192"/>
      <c r="M9" s="367">
        <v>72</v>
      </c>
      <c r="N9" s="210"/>
      <c r="O9" s="160"/>
      <c r="P9" s="180" t="s">
        <v>114</v>
      </c>
      <c r="Q9" s="192"/>
      <c r="R9" s="367">
        <v>72</v>
      </c>
      <c r="S9" s="210"/>
      <c r="T9" s="160"/>
      <c r="U9" s="180" t="s">
        <v>114</v>
      </c>
      <c r="V9" s="192"/>
      <c r="W9" s="367">
        <v>72</v>
      </c>
      <c r="X9" s="210"/>
      <c r="Y9" s="160"/>
      <c r="Z9" s="180" t="s">
        <v>114</v>
      </c>
      <c r="AA9" s="192"/>
      <c r="AB9" s="367">
        <v>72</v>
      </c>
      <c r="AC9" s="210"/>
      <c r="AD9" s="160"/>
      <c r="AE9" s="180" t="s">
        <v>114</v>
      </c>
      <c r="AF9" s="192"/>
      <c r="AG9" s="367">
        <v>72</v>
      </c>
      <c r="AH9" s="210"/>
      <c r="AI9" s="160"/>
      <c r="AJ9" s="180" t="s">
        <v>114</v>
      </c>
      <c r="AK9" s="192"/>
      <c r="AL9" s="367">
        <v>72</v>
      </c>
      <c r="AM9" s="210"/>
      <c r="AN9" s="160"/>
      <c r="AO9" s="180" t="s">
        <v>114</v>
      </c>
      <c r="AP9" s="192"/>
      <c r="AQ9" s="367">
        <v>72</v>
      </c>
      <c r="AR9" s="210"/>
      <c r="AS9" s="160"/>
      <c r="AT9" s="180" t="s">
        <v>114</v>
      </c>
      <c r="AU9" s="192"/>
      <c r="AV9" s="367">
        <v>72</v>
      </c>
      <c r="AW9" s="210"/>
      <c r="AX9" s="160"/>
      <c r="AY9" s="160"/>
      <c r="AZ9" s="160"/>
      <c r="BA9" s="160"/>
      <c r="BB9" s="160"/>
      <c r="BC9" s="160"/>
      <c r="BD9" s="160"/>
      <c r="BE9" s="160"/>
      <c r="BF9" s="160"/>
      <c r="BG9" s="160"/>
    </row>
    <row r="10" spans="1:59" s="165" customFormat="1">
      <c r="A10" s="180" t="s">
        <v>115</v>
      </c>
      <c r="B10" s="193" t="s">
        <v>116</v>
      </c>
      <c r="C10" s="207">
        <v>32500</v>
      </c>
      <c r="D10" s="208"/>
      <c r="E10" s="160"/>
      <c r="F10" s="180" t="s">
        <v>115</v>
      </c>
      <c r="G10" s="193" t="s">
        <v>116</v>
      </c>
      <c r="H10" s="207">
        <v>32500</v>
      </c>
      <c r="I10" s="208"/>
      <c r="J10" s="160"/>
      <c r="K10" s="180" t="s">
        <v>115</v>
      </c>
      <c r="L10" s="193" t="s">
        <v>116</v>
      </c>
      <c r="M10" s="207">
        <v>32500</v>
      </c>
      <c r="N10" s="210"/>
      <c r="O10" s="160"/>
      <c r="P10" s="180" t="s">
        <v>115</v>
      </c>
      <c r="Q10" s="193" t="s">
        <v>116</v>
      </c>
      <c r="R10" s="207">
        <v>32500</v>
      </c>
      <c r="S10" s="210"/>
      <c r="T10" s="160"/>
      <c r="U10" s="180" t="s">
        <v>115</v>
      </c>
      <c r="V10" s="193" t="s">
        <v>116</v>
      </c>
      <c r="W10" s="207">
        <v>32500</v>
      </c>
      <c r="X10" s="210"/>
      <c r="Y10" s="160"/>
      <c r="Z10" s="180" t="s">
        <v>115</v>
      </c>
      <c r="AA10" s="193" t="s">
        <v>116</v>
      </c>
      <c r="AB10" s="207">
        <v>32500</v>
      </c>
      <c r="AC10" s="210"/>
      <c r="AD10" s="160"/>
      <c r="AE10" s="180" t="s">
        <v>115</v>
      </c>
      <c r="AF10" s="193" t="s">
        <v>116</v>
      </c>
      <c r="AG10" s="207">
        <v>32500</v>
      </c>
      <c r="AH10" s="210"/>
      <c r="AI10" s="160"/>
      <c r="AJ10" s="180" t="s">
        <v>115</v>
      </c>
      <c r="AK10" s="193" t="s">
        <v>116</v>
      </c>
      <c r="AL10" s="207">
        <v>32500</v>
      </c>
      <c r="AM10" s="210"/>
      <c r="AN10" s="160"/>
      <c r="AO10" s="180" t="s">
        <v>115</v>
      </c>
      <c r="AP10" s="193" t="s">
        <v>116</v>
      </c>
      <c r="AQ10" s="207">
        <v>32500</v>
      </c>
      <c r="AR10" s="210"/>
      <c r="AS10" s="160"/>
      <c r="AT10" s="180" t="s">
        <v>115</v>
      </c>
      <c r="AU10" s="193" t="s">
        <v>116</v>
      </c>
      <c r="AV10" s="207">
        <v>32500</v>
      </c>
      <c r="AW10" s="210"/>
      <c r="AX10" s="160"/>
      <c r="AY10" s="160"/>
      <c r="AZ10" s="160"/>
      <c r="BA10" s="160"/>
      <c r="BB10" s="160"/>
      <c r="BC10" s="160"/>
      <c r="BD10" s="160"/>
      <c r="BE10" s="160"/>
      <c r="BF10" s="160"/>
      <c r="BG10" s="160"/>
    </row>
    <row r="11" spans="1:59" s="165" customFormat="1">
      <c r="A11" s="180" t="s">
        <v>117</v>
      </c>
      <c r="B11" s="366" t="s">
        <v>118</v>
      </c>
      <c r="C11" s="207">
        <f>C4*45%</f>
        <v>4031190</v>
      </c>
      <c r="D11" s="207"/>
      <c r="E11" s="160"/>
      <c r="F11" s="180" t="s">
        <v>117</v>
      </c>
      <c r="G11" s="366" t="s">
        <v>118</v>
      </c>
      <c r="H11" s="207">
        <f>H4*45%</f>
        <v>4033215</v>
      </c>
      <c r="I11" s="207"/>
      <c r="J11" s="160"/>
      <c r="K11" s="180" t="s">
        <v>117</v>
      </c>
      <c r="L11" s="366" t="s">
        <v>118</v>
      </c>
      <c r="M11" s="207">
        <f>M4*45%</f>
        <v>4033485</v>
      </c>
      <c r="N11" s="212"/>
      <c r="O11" s="160"/>
      <c r="P11" s="180" t="s">
        <v>117</v>
      </c>
      <c r="Q11" s="366" t="s">
        <v>118</v>
      </c>
      <c r="R11" s="207">
        <f>R4*45%</f>
        <v>4029840</v>
      </c>
      <c r="S11" s="212"/>
      <c r="T11" s="160"/>
      <c r="U11" s="180" t="s">
        <v>117</v>
      </c>
      <c r="V11" s="366" t="s">
        <v>118</v>
      </c>
      <c r="W11" s="207">
        <f>W4*45%</f>
        <v>4026330</v>
      </c>
      <c r="X11" s="212"/>
      <c r="Y11" s="160"/>
      <c r="Z11" s="180" t="s">
        <v>117</v>
      </c>
      <c r="AA11" s="366" t="s">
        <v>118</v>
      </c>
      <c r="AB11" s="207">
        <f>AB4*45%</f>
        <v>4022820</v>
      </c>
      <c r="AC11" s="212"/>
      <c r="AD11" s="160"/>
      <c r="AE11" s="180" t="s">
        <v>117</v>
      </c>
      <c r="AF11" s="366" t="s">
        <v>118</v>
      </c>
      <c r="AG11" s="207">
        <f>AG4*45%</f>
        <v>4019175</v>
      </c>
      <c r="AH11" s="212"/>
      <c r="AI11" s="160"/>
      <c r="AJ11" s="180" t="s">
        <v>117</v>
      </c>
      <c r="AK11" s="366" t="s">
        <v>118</v>
      </c>
      <c r="AL11" s="207">
        <f>AL4*45%</f>
        <v>4005000</v>
      </c>
      <c r="AM11" s="212"/>
      <c r="AN11" s="160"/>
      <c r="AO11" s="180" t="s">
        <v>117</v>
      </c>
      <c r="AP11" s="366" t="s">
        <v>118</v>
      </c>
      <c r="AQ11" s="207">
        <f>AQ4*45%</f>
        <v>4005000</v>
      </c>
      <c r="AR11" s="212"/>
      <c r="AS11" s="160"/>
      <c r="AT11" s="180" t="s">
        <v>117</v>
      </c>
      <c r="AU11" s="366" t="s">
        <v>118</v>
      </c>
      <c r="AV11" s="207" t="e">
        <f>AV4*45%</f>
        <v>#REF!</v>
      </c>
      <c r="AW11" s="212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</row>
    <row r="12" spans="1:59" s="165" customFormat="1">
      <c r="A12" s="180" t="s">
        <v>119</v>
      </c>
      <c r="B12" s="366"/>
      <c r="C12" s="207">
        <f>C4*10%</f>
        <v>895820</v>
      </c>
      <c r="D12" s="207"/>
      <c r="E12" s="160"/>
      <c r="F12" s="180" t="s">
        <v>119</v>
      </c>
      <c r="G12" s="176"/>
      <c r="H12" s="207">
        <f>H4*10%</f>
        <v>896270</v>
      </c>
      <c r="I12" s="207"/>
      <c r="J12" s="160"/>
      <c r="K12" s="166" t="s">
        <v>119</v>
      </c>
      <c r="L12" s="176"/>
      <c r="M12" s="207">
        <f>M4*10%</f>
        <v>896330</v>
      </c>
      <c r="N12" s="212"/>
      <c r="O12" s="160"/>
      <c r="P12" s="166" t="s">
        <v>119</v>
      </c>
      <c r="Q12" s="176"/>
      <c r="R12" s="211">
        <f>R4*10%</f>
        <v>895520</v>
      </c>
      <c r="S12" s="212"/>
      <c r="T12" s="160"/>
      <c r="U12" s="166" t="s">
        <v>119</v>
      </c>
      <c r="V12" s="176"/>
      <c r="W12" s="211">
        <f>W4*10%</f>
        <v>894740</v>
      </c>
      <c r="X12" s="212"/>
      <c r="Y12" s="160"/>
      <c r="Z12" s="166" t="s">
        <v>119</v>
      </c>
      <c r="AA12" s="176"/>
      <c r="AB12" s="211">
        <f>AB4*10%</f>
        <v>893960</v>
      </c>
      <c r="AC12" s="212"/>
      <c r="AD12" s="160"/>
      <c r="AE12" s="166" t="s">
        <v>119</v>
      </c>
      <c r="AF12" s="176"/>
      <c r="AG12" s="211">
        <f>AG4*10%</f>
        <v>893150</v>
      </c>
      <c r="AH12" s="212"/>
      <c r="AI12" s="160"/>
      <c r="AJ12" s="166" t="s">
        <v>119</v>
      </c>
      <c r="AK12" s="176"/>
      <c r="AL12" s="211">
        <f>AL4*10%</f>
        <v>890000</v>
      </c>
      <c r="AM12" s="212"/>
      <c r="AN12" s="160"/>
      <c r="AO12" s="166" t="s">
        <v>119</v>
      </c>
      <c r="AP12" s="176"/>
      <c r="AQ12" s="211">
        <f>AQ4*10%</f>
        <v>890000</v>
      </c>
      <c r="AR12" s="212"/>
      <c r="AS12" s="160"/>
      <c r="AT12" s="166" t="s">
        <v>119</v>
      </c>
      <c r="AU12" s="176"/>
      <c r="AV12" s="211" t="e">
        <f>AV4-10%</f>
        <v>#REF!</v>
      </c>
      <c r="AW12" s="212"/>
      <c r="AX12" s="160"/>
      <c r="AY12" s="160"/>
      <c r="AZ12" s="160"/>
      <c r="BA12" s="160"/>
      <c r="BB12" s="160"/>
      <c r="BC12" s="160"/>
      <c r="BD12" s="160"/>
      <c r="BE12" s="160"/>
      <c r="BF12" s="160"/>
      <c r="BG12" s="160"/>
    </row>
    <row r="13" spans="1:59">
      <c r="A13" s="180"/>
      <c r="B13" s="169"/>
      <c r="C13" s="170"/>
      <c r="D13" s="170"/>
      <c r="F13" s="180"/>
      <c r="G13" s="169"/>
      <c r="H13" s="170"/>
      <c r="I13" s="170"/>
      <c r="K13" s="180"/>
      <c r="L13" s="169"/>
      <c r="M13" s="170"/>
      <c r="N13" s="170"/>
      <c r="P13" s="180"/>
      <c r="Q13" s="169"/>
      <c r="R13" s="170"/>
      <c r="S13" s="170"/>
      <c r="U13" s="180"/>
      <c r="V13" s="169"/>
      <c r="W13" s="170"/>
      <c r="X13" s="170"/>
      <c r="Z13" s="180"/>
      <c r="AA13" s="169"/>
      <c r="AB13" s="170"/>
      <c r="AC13" s="170"/>
      <c r="AE13" s="180"/>
      <c r="AF13" s="169"/>
      <c r="AG13" s="170"/>
      <c r="AH13" s="170"/>
      <c r="AJ13" s="180"/>
      <c r="AK13" s="169"/>
      <c r="AL13" s="170"/>
      <c r="AM13" s="170"/>
      <c r="AO13" s="180"/>
      <c r="AP13" s="169"/>
      <c r="AQ13" s="170"/>
      <c r="AR13" s="170"/>
      <c r="AT13" s="180"/>
      <c r="AU13" s="169"/>
      <c r="AV13" s="170"/>
      <c r="AW13" s="170"/>
    </row>
    <row r="14" spans="1:59" s="165" customFormat="1">
      <c r="A14" s="206">
        <v>1</v>
      </c>
      <c r="B14" s="176" t="s">
        <v>120</v>
      </c>
      <c r="C14" s="207"/>
      <c r="D14" s="207"/>
      <c r="E14" s="160"/>
      <c r="F14" s="206">
        <v>1</v>
      </c>
      <c r="G14" s="176" t="s">
        <v>120</v>
      </c>
      <c r="H14" s="207"/>
      <c r="I14" s="207"/>
      <c r="J14" s="160"/>
      <c r="K14" s="206">
        <v>1</v>
      </c>
      <c r="L14" s="176" t="s">
        <v>120</v>
      </c>
      <c r="M14" s="207"/>
      <c r="N14" s="207"/>
      <c r="O14" s="160"/>
      <c r="P14" s="206">
        <v>1</v>
      </c>
      <c r="Q14" s="176" t="s">
        <v>120</v>
      </c>
      <c r="R14" s="207"/>
      <c r="S14" s="207"/>
      <c r="T14" s="160"/>
      <c r="U14" s="206">
        <v>1</v>
      </c>
      <c r="V14" s="176" t="s">
        <v>120</v>
      </c>
      <c r="W14" s="207"/>
      <c r="X14" s="207"/>
      <c r="Y14" s="160"/>
      <c r="Z14" s="206">
        <v>1</v>
      </c>
      <c r="AA14" s="176" t="s">
        <v>120</v>
      </c>
      <c r="AB14" s="207"/>
      <c r="AC14" s="207"/>
      <c r="AD14" s="160"/>
      <c r="AE14" s="206">
        <v>1</v>
      </c>
      <c r="AF14" s="176" t="s">
        <v>120</v>
      </c>
      <c r="AG14" s="207"/>
      <c r="AH14" s="207"/>
      <c r="AI14" s="160"/>
      <c r="AJ14" s="206">
        <v>1</v>
      </c>
      <c r="AK14" s="176" t="s">
        <v>120</v>
      </c>
      <c r="AL14" s="207"/>
      <c r="AM14" s="207"/>
      <c r="AN14" s="160"/>
      <c r="AO14" s="206">
        <v>1</v>
      </c>
      <c r="AP14" s="176" t="s">
        <v>120</v>
      </c>
      <c r="AQ14" s="207"/>
      <c r="AR14" s="207"/>
      <c r="AS14" s="160"/>
      <c r="AT14" s="206">
        <v>1</v>
      </c>
      <c r="AU14" s="176" t="s">
        <v>120</v>
      </c>
      <c r="AV14" s="207"/>
      <c r="AW14" s="207"/>
      <c r="AX14" s="160"/>
      <c r="AY14" s="160"/>
      <c r="AZ14" s="160"/>
      <c r="BA14" s="160"/>
      <c r="BB14" s="160"/>
      <c r="BC14" s="160"/>
      <c r="BD14" s="160"/>
      <c r="BE14" s="160"/>
      <c r="BF14" s="160"/>
      <c r="BG14" s="160"/>
    </row>
    <row r="15" spans="1:59">
      <c r="A15" s="181"/>
      <c r="B15" s="171" t="s">
        <v>121</v>
      </c>
      <c r="C15" s="170">
        <v>3600</v>
      </c>
      <c r="D15" s="182">
        <f t="shared" ref="D15:D44" si="0">C15/$C$11</f>
        <v>8.9303654752070731E-4</v>
      </c>
      <c r="F15" s="181"/>
      <c r="G15" s="171" t="s">
        <v>121</v>
      </c>
      <c r="H15" s="170">
        <v>3600</v>
      </c>
      <c r="I15" s="182">
        <f t="shared" ref="I15:I16" si="1">H15/$C$11</f>
        <v>8.9303654752070731E-4</v>
      </c>
      <c r="K15" s="181"/>
      <c r="L15" s="171" t="s">
        <v>121</v>
      </c>
      <c r="M15" s="170">
        <v>3600</v>
      </c>
      <c r="N15" s="182">
        <f t="shared" ref="N15:N16" si="2">M15/$C$11</f>
        <v>8.9303654752070731E-4</v>
      </c>
      <c r="P15" s="181"/>
      <c r="Q15" s="171" t="s">
        <v>121</v>
      </c>
      <c r="R15" s="170">
        <v>3600</v>
      </c>
      <c r="S15" s="182">
        <f t="shared" ref="S15:S16" si="3">R15/$C$11</f>
        <v>8.9303654752070731E-4</v>
      </c>
      <c r="U15" s="181"/>
      <c r="V15" s="171" t="s">
        <v>121</v>
      </c>
      <c r="W15" s="170">
        <v>3600</v>
      </c>
      <c r="X15" s="182">
        <f t="shared" ref="X15:X16" si="4">W15/$C$11</f>
        <v>8.9303654752070731E-4</v>
      </c>
      <c r="Z15" s="181"/>
      <c r="AA15" s="171" t="s">
        <v>121</v>
      </c>
      <c r="AB15" s="170">
        <v>3600</v>
      </c>
      <c r="AC15" s="182">
        <f t="shared" ref="AC15:AC16" si="5">AB15/$C$11</f>
        <v>8.9303654752070731E-4</v>
      </c>
      <c r="AE15" s="181"/>
      <c r="AF15" s="171" t="s">
        <v>121</v>
      </c>
      <c r="AG15" s="170">
        <v>3600</v>
      </c>
      <c r="AH15" s="182">
        <f t="shared" ref="AH15:AH16" si="6">AG15/$C$11</f>
        <v>8.9303654752070731E-4</v>
      </c>
      <c r="AJ15" s="181"/>
      <c r="AK15" s="171" t="s">
        <v>121</v>
      </c>
      <c r="AL15" s="170">
        <v>3600</v>
      </c>
      <c r="AM15" s="182">
        <f t="shared" ref="AM15:AM16" si="7">AL15/$C$11</f>
        <v>8.9303654752070731E-4</v>
      </c>
      <c r="AO15" s="181"/>
      <c r="AP15" s="171" t="s">
        <v>121</v>
      </c>
      <c r="AQ15" s="170">
        <v>3600</v>
      </c>
      <c r="AR15" s="182">
        <f t="shared" ref="AR15:AR16" si="8">AQ15/$C$11</f>
        <v>8.9303654752070731E-4</v>
      </c>
      <c r="AT15" s="181"/>
      <c r="AU15" s="171" t="s">
        <v>121</v>
      </c>
      <c r="AV15" s="170">
        <v>3600</v>
      </c>
      <c r="AW15" s="182">
        <f t="shared" ref="AW15:AW16" si="9">AV15/$C$11</f>
        <v>8.9303654752070731E-4</v>
      </c>
    </row>
    <row r="16" spans="1:59">
      <c r="A16" s="181"/>
      <c r="B16" s="171" t="s">
        <v>122</v>
      </c>
      <c r="C16" s="170">
        <v>9900</v>
      </c>
      <c r="D16" s="182">
        <f t="shared" si="0"/>
        <v>2.455850505681945E-3</v>
      </c>
      <c r="F16" s="181"/>
      <c r="G16" s="171" t="s">
        <v>122</v>
      </c>
      <c r="H16" s="170">
        <v>9900</v>
      </c>
      <c r="I16" s="182">
        <f t="shared" si="1"/>
        <v>2.455850505681945E-3</v>
      </c>
      <c r="K16" s="181"/>
      <c r="L16" s="171" t="s">
        <v>122</v>
      </c>
      <c r="M16" s="170">
        <v>9900</v>
      </c>
      <c r="N16" s="182">
        <f t="shared" si="2"/>
        <v>2.455850505681945E-3</v>
      </c>
      <c r="P16" s="181"/>
      <c r="Q16" s="171" t="s">
        <v>122</v>
      </c>
      <c r="R16" s="170">
        <v>9900</v>
      </c>
      <c r="S16" s="182">
        <f t="shared" si="3"/>
        <v>2.455850505681945E-3</v>
      </c>
      <c r="U16" s="181"/>
      <c r="V16" s="171" t="s">
        <v>122</v>
      </c>
      <c r="W16" s="170">
        <v>9900</v>
      </c>
      <c r="X16" s="182">
        <f t="shared" si="4"/>
        <v>2.455850505681945E-3</v>
      </c>
      <c r="Z16" s="181"/>
      <c r="AA16" s="171" t="s">
        <v>122</v>
      </c>
      <c r="AB16" s="170">
        <v>9900</v>
      </c>
      <c r="AC16" s="182">
        <f t="shared" si="5"/>
        <v>2.455850505681945E-3</v>
      </c>
      <c r="AE16" s="181"/>
      <c r="AF16" s="171" t="s">
        <v>122</v>
      </c>
      <c r="AG16" s="170">
        <v>9900</v>
      </c>
      <c r="AH16" s="182">
        <f t="shared" si="6"/>
        <v>2.455850505681945E-3</v>
      </c>
      <c r="AJ16" s="181"/>
      <c r="AK16" s="171" t="s">
        <v>122</v>
      </c>
      <c r="AL16" s="170">
        <v>9900</v>
      </c>
      <c r="AM16" s="182">
        <f t="shared" si="7"/>
        <v>2.455850505681945E-3</v>
      </c>
      <c r="AO16" s="181"/>
      <c r="AP16" s="171" t="s">
        <v>122</v>
      </c>
      <c r="AQ16" s="170">
        <v>9900</v>
      </c>
      <c r="AR16" s="182">
        <f t="shared" si="8"/>
        <v>2.455850505681945E-3</v>
      </c>
      <c r="AT16" s="181"/>
      <c r="AU16" s="171" t="s">
        <v>122</v>
      </c>
      <c r="AV16" s="170">
        <v>9900</v>
      </c>
      <c r="AW16" s="182">
        <f t="shared" si="9"/>
        <v>2.455850505681945E-3</v>
      </c>
    </row>
    <row r="17" spans="1:59">
      <c r="A17" s="181"/>
      <c r="B17" s="171" t="s">
        <v>123</v>
      </c>
      <c r="C17" s="170">
        <v>4250</v>
      </c>
      <c r="D17" s="182"/>
      <c r="F17" s="181"/>
      <c r="G17" s="171" t="s">
        <v>123</v>
      </c>
      <c r="H17" s="170">
        <v>4250</v>
      </c>
      <c r="I17" s="182"/>
      <c r="K17" s="181"/>
      <c r="L17" s="171" t="s">
        <v>123</v>
      </c>
      <c r="M17" s="170">
        <v>4250</v>
      </c>
      <c r="N17" s="182"/>
      <c r="P17" s="181"/>
      <c r="Q17" s="171" t="s">
        <v>123</v>
      </c>
      <c r="R17" s="170">
        <v>4250</v>
      </c>
      <c r="S17" s="182"/>
      <c r="U17" s="181"/>
      <c r="V17" s="171" t="s">
        <v>123</v>
      </c>
      <c r="W17" s="170">
        <v>4250</v>
      </c>
      <c r="X17" s="182"/>
      <c r="Z17" s="181"/>
      <c r="AA17" s="171" t="s">
        <v>123</v>
      </c>
      <c r="AB17" s="170">
        <v>4250</v>
      </c>
      <c r="AC17" s="182"/>
      <c r="AE17" s="181"/>
      <c r="AF17" s="171" t="s">
        <v>123</v>
      </c>
      <c r="AG17" s="170">
        <v>4250</v>
      </c>
      <c r="AH17" s="182"/>
      <c r="AJ17" s="181"/>
      <c r="AK17" s="171" t="s">
        <v>123</v>
      </c>
      <c r="AL17" s="170">
        <v>4250</v>
      </c>
      <c r="AM17" s="182"/>
      <c r="AO17" s="181"/>
      <c r="AP17" s="171" t="s">
        <v>123</v>
      </c>
      <c r="AQ17" s="170">
        <v>4250</v>
      </c>
      <c r="AR17" s="182"/>
      <c r="AT17" s="181"/>
      <c r="AU17" s="171" t="s">
        <v>123</v>
      </c>
      <c r="AV17" s="170">
        <v>4250</v>
      </c>
      <c r="AW17" s="182"/>
    </row>
    <row r="18" spans="1:59" s="158" customFormat="1">
      <c r="A18" s="187"/>
      <c r="B18" s="188" t="s">
        <v>124</v>
      </c>
      <c r="C18" s="174">
        <v>17500</v>
      </c>
      <c r="D18" s="189">
        <f>C18/$C$11</f>
        <v>4.3411498837812156E-3</v>
      </c>
      <c r="F18" s="187"/>
      <c r="G18" s="188" t="s">
        <v>124</v>
      </c>
      <c r="H18" s="174">
        <v>17500</v>
      </c>
      <c r="I18" s="189">
        <f>H18/$C$11</f>
        <v>4.3411498837812156E-3</v>
      </c>
      <c r="K18" s="187"/>
      <c r="L18" s="188" t="s">
        <v>124</v>
      </c>
      <c r="M18" s="174">
        <v>17500</v>
      </c>
      <c r="N18" s="189">
        <f>M18/$C$11</f>
        <v>4.3411498837812156E-3</v>
      </c>
      <c r="P18" s="187"/>
      <c r="Q18" s="188" t="s">
        <v>124</v>
      </c>
      <c r="R18" s="174">
        <v>17500</v>
      </c>
      <c r="S18" s="189">
        <f>R18/$C$11</f>
        <v>4.3411498837812156E-3</v>
      </c>
      <c r="U18" s="187"/>
      <c r="V18" s="188" t="s">
        <v>124</v>
      </c>
      <c r="W18" s="174">
        <v>17500</v>
      </c>
      <c r="X18" s="189">
        <f>W18/$C$11</f>
        <v>4.3411498837812156E-3</v>
      </c>
      <c r="Z18" s="187"/>
      <c r="AA18" s="188" t="s">
        <v>124</v>
      </c>
      <c r="AB18" s="174">
        <v>17500</v>
      </c>
      <c r="AC18" s="189">
        <f>AB18/$C$11</f>
        <v>4.3411498837812156E-3</v>
      </c>
      <c r="AE18" s="187"/>
      <c r="AF18" s="188" t="s">
        <v>124</v>
      </c>
      <c r="AG18" s="174">
        <v>17500</v>
      </c>
      <c r="AH18" s="189">
        <f>AG18/$C$11</f>
        <v>4.3411498837812156E-3</v>
      </c>
      <c r="AJ18" s="187"/>
      <c r="AK18" s="188" t="s">
        <v>124</v>
      </c>
      <c r="AL18" s="174">
        <v>17500</v>
      </c>
      <c r="AM18" s="189">
        <f>AL18/$C$11</f>
        <v>4.3411498837812156E-3</v>
      </c>
      <c r="AO18" s="187"/>
      <c r="AP18" s="188" t="s">
        <v>124</v>
      </c>
      <c r="AQ18" s="174">
        <v>17500</v>
      </c>
      <c r="AR18" s="189">
        <f>AQ18/$C$11</f>
        <v>4.3411498837812156E-3</v>
      </c>
      <c r="AT18" s="187"/>
      <c r="AU18" s="188" t="s">
        <v>124</v>
      </c>
      <c r="AV18" s="174">
        <v>17500</v>
      </c>
      <c r="AW18" s="189">
        <f>AV18/$C$11</f>
        <v>4.3411498837812156E-3</v>
      </c>
    </row>
    <row r="19" spans="1:59">
      <c r="A19" s="181"/>
      <c r="B19" s="172"/>
      <c r="C19" s="170"/>
      <c r="D19" s="182"/>
      <c r="F19" s="181"/>
      <c r="G19" s="172"/>
      <c r="H19" s="170"/>
      <c r="I19" s="182"/>
      <c r="K19" s="181"/>
      <c r="L19" s="172"/>
      <c r="M19" s="170"/>
      <c r="N19" s="182"/>
      <c r="P19" s="181"/>
      <c r="Q19" s="172"/>
      <c r="R19" s="170"/>
      <c r="S19" s="182"/>
      <c r="U19" s="181"/>
      <c r="V19" s="172"/>
      <c r="W19" s="170"/>
      <c r="X19" s="182"/>
      <c r="Z19" s="181"/>
      <c r="AA19" s="172"/>
      <c r="AB19" s="170"/>
      <c r="AC19" s="182"/>
      <c r="AE19" s="181"/>
      <c r="AF19" s="172"/>
      <c r="AG19" s="170"/>
      <c r="AH19" s="182"/>
      <c r="AJ19" s="181"/>
      <c r="AK19" s="172"/>
      <c r="AL19" s="170"/>
      <c r="AM19" s="182"/>
      <c r="AO19" s="181"/>
      <c r="AP19" s="172"/>
      <c r="AQ19" s="170"/>
      <c r="AR19" s="182"/>
      <c r="AT19" s="181"/>
      <c r="AU19" s="172"/>
      <c r="AV19" s="170"/>
      <c r="AW19" s="182"/>
    </row>
    <row r="20" spans="1:59" s="165" customFormat="1">
      <c r="A20" s="206">
        <v>2</v>
      </c>
      <c r="B20" s="176" t="s">
        <v>125</v>
      </c>
      <c r="C20" s="207"/>
      <c r="D20" s="186">
        <f t="shared" si="0"/>
        <v>0</v>
      </c>
      <c r="E20" s="160"/>
      <c r="F20" s="206">
        <v>2</v>
      </c>
      <c r="G20" s="176" t="s">
        <v>125</v>
      </c>
      <c r="H20" s="207"/>
      <c r="I20" s="186">
        <f t="shared" ref="I20:I21" si="10">H20/$C$11</f>
        <v>0</v>
      </c>
      <c r="J20" s="160"/>
      <c r="K20" s="206">
        <v>2</v>
      </c>
      <c r="L20" s="176" t="s">
        <v>125</v>
      </c>
      <c r="M20" s="207"/>
      <c r="N20" s="186">
        <f t="shared" ref="N20:N21" si="11">M20/$C$11</f>
        <v>0</v>
      </c>
      <c r="O20" s="160"/>
      <c r="P20" s="206">
        <v>2</v>
      </c>
      <c r="Q20" s="176" t="s">
        <v>125</v>
      </c>
      <c r="R20" s="207"/>
      <c r="S20" s="186">
        <f t="shared" ref="S20:S21" si="12">R20/$C$11</f>
        <v>0</v>
      </c>
      <c r="T20" s="160"/>
      <c r="U20" s="206">
        <v>2</v>
      </c>
      <c r="V20" s="176" t="s">
        <v>125</v>
      </c>
      <c r="W20" s="207"/>
      <c r="X20" s="186">
        <f t="shared" ref="X20:X21" si="13">W20/$C$11</f>
        <v>0</v>
      </c>
      <c r="Y20" s="160"/>
      <c r="Z20" s="206">
        <v>2</v>
      </c>
      <c r="AA20" s="176" t="s">
        <v>125</v>
      </c>
      <c r="AB20" s="207"/>
      <c r="AC20" s="186">
        <f t="shared" ref="AC20:AC21" si="14">AB20/$C$11</f>
        <v>0</v>
      </c>
      <c r="AD20" s="160"/>
      <c r="AE20" s="206">
        <v>2</v>
      </c>
      <c r="AF20" s="176" t="s">
        <v>125</v>
      </c>
      <c r="AG20" s="207"/>
      <c r="AH20" s="186">
        <f t="shared" ref="AH20:AH21" si="15">AG20/$C$11</f>
        <v>0</v>
      </c>
      <c r="AI20" s="160"/>
      <c r="AJ20" s="206">
        <v>2</v>
      </c>
      <c r="AK20" s="176" t="s">
        <v>125</v>
      </c>
      <c r="AL20" s="207"/>
      <c r="AM20" s="186">
        <f t="shared" ref="AM20:AM21" si="16">AL20/$C$11</f>
        <v>0</v>
      </c>
      <c r="AN20" s="160"/>
      <c r="AO20" s="206">
        <v>2</v>
      </c>
      <c r="AP20" s="176" t="s">
        <v>125</v>
      </c>
      <c r="AQ20" s="207"/>
      <c r="AR20" s="186">
        <f t="shared" ref="AR20:AR21" si="17">AQ20/$C$11</f>
        <v>0</v>
      </c>
      <c r="AS20" s="160"/>
      <c r="AT20" s="206">
        <v>2</v>
      </c>
      <c r="AU20" s="176" t="s">
        <v>125</v>
      </c>
      <c r="AV20" s="207"/>
      <c r="AW20" s="186">
        <f t="shared" ref="AW20:AW21" si="18">AV20/$C$11</f>
        <v>0</v>
      </c>
      <c r="AX20" s="160"/>
      <c r="AY20" s="160"/>
      <c r="AZ20" s="160"/>
      <c r="BA20" s="160"/>
      <c r="BB20" s="160"/>
      <c r="BC20" s="160"/>
      <c r="BD20" s="160"/>
      <c r="BE20" s="160"/>
      <c r="BF20" s="160"/>
      <c r="BG20" s="160"/>
    </row>
    <row r="21" spans="1:59">
      <c r="A21" s="169"/>
      <c r="B21" s="171" t="s">
        <v>126</v>
      </c>
      <c r="C21" s="185">
        <v>200</v>
      </c>
      <c r="D21" s="182">
        <f t="shared" si="0"/>
        <v>4.9613141528928186E-5</v>
      </c>
      <c r="F21" s="169"/>
      <c r="G21" s="171" t="s">
        <v>126</v>
      </c>
      <c r="H21" s="185">
        <v>200</v>
      </c>
      <c r="I21" s="182">
        <f t="shared" si="10"/>
        <v>4.9613141528928186E-5</v>
      </c>
      <c r="K21" s="169"/>
      <c r="L21" s="171" t="s">
        <v>126</v>
      </c>
      <c r="M21" s="185">
        <v>200</v>
      </c>
      <c r="N21" s="182">
        <f t="shared" si="11"/>
        <v>4.9613141528928186E-5</v>
      </c>
      <c r="P21" s="169"/>
      <c r="Q21" s="171" t="s">
        <v>126</v>
      </c>
      <c r="R21" s="185">
        <v>200</v>
      </c>
      <c r="S21" s="182">
        <f t="shared" si="12"/>
        <v>4.9613141528928186E-5</v>
      </c>
      <c r="U21" s="169"/>
      <c r="V21" s="171" t="s">
        <v>126</v>
      </c>
      <c r="W21" s="185">
        <v>200</v>
      </c>
      <c r="X21" s="182">
        <f t="shared" si="13"/>
        <v>4.9613141528928186E-5</v>
      </c>
      <c r="Z21" s="169"/>
      <c r="AA21" s="171" t="s">
        <v>126</v>
      </c>
      <c r="AB21" s="185">
        <v>200</v>
      </c>
      <c r="AC21" s="182">
        <f t="shared" si="14"/>
        <v>4.9613141528928186E-5</v>
      </c>
      <c r="AE21" s="169"/>
      <c r="AF21" s="171" t="s">
        <v>126</v>
      </c>
      <c r="AG21" s="185">
        <v>200</v>
      </c>
      <c r="AH21" s="182">
        <f t="shared" si="15"/>
        <v>4.9613141528928186E-5</v>
      </c>
      <c r="AJ21" s="169"/>
      <c r="AK21" s="171" t="s">
        <v>126</v>
      </c>
      <c r="AL21" s="185">
        <v>200</v>
      </c>
      <c r="AM21" s="182">
        <f t="shared" si="16"/>
        <v>4.9613141528928186E-5</v>
      </c>
      <c r="AO21" s="169"/>
      <c r="AP21" s="171" t="s">
        <v>126</v>
      </c>
      <c r="AQ21" s="185">
        <v>200</v>
      </c>
      <c r="AR21" s="182">
        <f t="shared" si="17"/>
        <v>4.9613141528928186E-5</v>
      </c>
      <c r="AT21" s="169"/>
      <c r="AU21" s="171" t="s">
        <v>126</v>
      </c>
      <c r="AV21" s="185">
        <v>200</v>
      </c>
      <c r="AW21" s="182">
        <f t="shared" si="18"/>
        <v>4.9613141528928186E-5</v>
      </c>
    </row>
    <row r="22" spans="1:59">
      <c r="A22" s="169"/>
      <c r="B22" s="171" t="s">
        <v>127</v>
      </c>
      <c r="C22" s="185">
        <f>C11*6%</f>
        <v>241871.4</v>
      </c>
      <c r="D22" s="182">
        <f>C22/$C$11</f>
        <v>0.06</v>
      </c>
      <c r="F22" s="169"/>
      <c r="G22" s="171" t="s">
        <v>127</v>
      </c>
      <c r="H22" s="185">
        <f>H11*6%</f>
        <v>241992.9</v>
      </c>
      <c r="I22" s="182">
        <f>H22/$C$11</f>
        <v>6.0030139983478822E-2</v>
      </c>
      <c r="K22" s="169"/>
      <c r="L22" s="171" t="s">
        <v>127</v>
      </c>
      <c r="M22" s="185">
        <f>M11*6%</f>
        <v>242009.09999999998</v>
      </c>
      <c r="N22" s="182">
        <f>M22/$C$11</f>
        <v>6.0034158647942662E-2</v>
      </c>
      <c r="P22" s="169"/>
      <c r="Q22" s="171" t="s">
        <v>127</v>
      </c>
      <c r="R22" s="185">
        <f>R11*6%</f>
        <v>241790.4</v>
      </c>
      <c r="S22" s="182">
        <f>R22/$C$11</f>
        <v>5.9979906677680786E-2</v>
      </c>
      <c r="U22" s="169"/>
      <c r="V22" s="171" t="s">
        <v>127</v>
      </c>
      <c r="W22" s="185">
        <f>W11*6%</f>
        <v>241579.8</v>
      </c>
      <c r="X22" s="182">
        <f>W22/$C$11</f>
        <v>5.9927664039650823E-2</v>
      </c>
      <c r="Z22" s="169"/>
      <c r="AA22" s="171" t="s">
        <v>127</v>
      </c>
      <c r="AB22" s="185">
        <f>AB11*6%</f>
        <v>241369.19999999998</v>
      </c>
      <c r="AC22" s="182">
        <f>AB22/$C$11</f>
        <v>5.987542140162086E-2</v>
      </c>
      <c r="AE22" s="169"/>
      <c r="AF22" s="171" t="s">
        <v>127</v>
      </c>
      <c r="AG22" s="185">
        <f>AG11*6%</f>
        <v>241150.5</v>
      </c>
      <c r="AH22" s="182">
        <f>AG22/$C$11</f>
        <v>5.9821169431358977E-2</v>
      </c>
      <c r="AJ22" s="169"/>
      <c r="AK22" s="171" t="s">
        <v>127</v>
      </c>
      <c r="AL22" s="185">
        <f>AL11*6%</f>
        <v>240300</v>
      </c>
      <c r="AM22" s="182">
        <f>AL22/$C$11</f>
        <v>5.9610189547007211E-2</v>
      </c>
      <c r="AO22" s="169"/>
      <c r="AP22" s="171" t="s">
        <v>127</v>
      </c>
      <c r="AQ22" s="185">
        <f>AQ11*6%</f>
        <v>240300</v>
      </c>
      <c r="AR22" s="182">
        <f>AQ22/$C$11</f>
        <v>5.9610189547007211E-2</v>
      </c>
      <c r="AT22" s="169"/>
      <c r="AU22" s="171" t="s">
        <v>127</v>
      </c>
      <c r="AV22" s="185" t="e">
        <f>AV11*6%</f>
        <v>#REF!</v>
      </c>
      <c r="AW22" s="182" t="e">
        <f>AV22/$C$11</f>
        <v>#REF!</v>
      </c>
    </row>
    <row r="23" spans="1:59">
      <c r="A23" s="169"/>
      <c r="B23" s="171" t="s">
        <v>128</v>
      </c>
      <c r="C23" s="185">
        <f>C11*1.5%</f>
        <v>60467.85</v>
      </c>
      <c r="D23" s="182">
        <f t="shared" si="0"/>
        <v>1.4999999999999999E-2</v>
      </c>
      <c r="F23" s="169"/>
      <c r="G23" s="171" t="s">
        <v>128</v>
      </c>
      <c r="H23" s="185">
        <f>H11*1.5%</f>
        <v>60498.224999999999</v>
      </c>
      <c r="I23" s="182">
        <f t="shared" ref="I23:I44" si="19">H23/$C$11</f>
        <v>1.5007534995869706E-2</v>
      </c>
      <c r="K23" s="169"/>
      <c r="L23" s="171" t="s">
        <v>128</v>
      </c>
      <c r="M23" s="185">
        <f>M11*1.5%</f>
        <v>60502.274999999994</v>
      </c>
      <c r="N23" s="182">
        <f t="shared" ref="N23:N44" si="20">M23/$C$11</f>
        <v>1.5008539661985665E-2</v>
      </c>
      <c r="P23" s="169"/>
      <c r="Q23" s="171" t="s">
        <v>128</v>
      </c>
      <c r="R23" s="185">
        <f>R11*1.5%</f>
        <v>60447.6</v>
      </c>
      <c r="S23" s="182">
        <f t="shared" ref="S23:S44" si="21">R23/$C$11</f>
        <v>1.4994976669420196E-2</v>
      </c>
      <c r="U23" s="169"/>
      <c r="V23" s="171" t="s">
        <v>128</v>
      </c>
      <c r="W23" s="185">
        <f>W11*1.5%</f>
        <v>60394.95</v>
      </c>
      <c r="X23" s="182">
        <f t="shared" ref="X23:X44" si="22">W23/$C$11</f>
        <v>1.4981916009912706E-2</v>
      </c>
      <c r="Z23" s="169"/>
      <c r="AA23" s="171" t="s">
        <v>128</v>
      </c>
      <c r="AB23" s="185">
        <f>AB11*1.5%</f>
        <v>60342.299999999996</v>
      </c>
      <c r="AC23" s="182">
        <f t="shared" ref="AC23:AC44" si="23">AB23/$C$11</f>
        <v>1.4968855350405215E-2</v>
      </c>
      <c r="AE23" s="169"/>
      <c r="AF23" s="171" t="s">
        <v>128</v>
      </c>
      <c r="AG23" s="185">
        <f>AG11*1.5%</f>
        <v>60287.625</v>
      </c>
      <c r="AH23" s="182">
        <f t="shared" ref="AH23:AH44" si="24">AG23/$C$11</f>
        <v>1.4955292357839744E-2</v>
      </c>
      <c r="AJ23" s="169"/>
      <c r="AK23" s="171" t="s">
        <v>128</v>
      </c>
      <c r="AL23" s="185">
        <f>AL11*1.5%</f>
        <v>60075</v>
      </c>
      <c r="AM23" s="182">
        <f t="shared" ref="AM23:AM44" si="25">AL23/$C$11</f>
        <v>1.4902547386751803E-2</v>
      </c>
      <c r="AO23" s="169"/>
      <c r="AP23" s="171" t="s">
        <v>128</v>
      </c>
      <c r="AQ23" s="185">
        <f>AQ11*1.5%</f>
        <v>60075</v>
      </c>
      <c r="AR23" s="182">
        <f t="shared" ref="AR23:AR44" si="26">AQ23/$C$11</f>
        <v>1.4902547386751803E-2</v>
      </c>
      <c r="AT23" s="169"/>
      <c r="AU23" s="171" t="s">
        <v>128</v>
      </c>
      <c r="AV23" s="185" t="e">
        <f>AV11*1.5%</f>
        <v>#REF!</v>
      </c>
      <c r="AW23" s="182" t="e">
        <f t="shared" ref="AW23:AW44" si="27">AV23/$C$11</f>
        <v>#REF!</v>
      </c>
    </row>
    <row r="24" spans="1:59">
      <c r="A24" s="169"/>
      <c r="B24" s="171" t="s">
        <v>129</v>
      </c>
      <c r="C24" s="185">
        <f>C11*0.87%</f>
        <v>35071.352999999996</v>
      </c>
      <c r="D24" s="182">
        <f t="shared" si="0"/>
        <v>8.6999999999999994E-3</v>
      </c>
      <c r="F24" s="169"/>
      <c r="G24" s="171" t="s">
        <v>129</v>
      </c>
      <c r="H24" s="185">
        <f>H11*0.87%</f>
        <v>35088.970499999996</v>
      </c>
      <c r="I24" s="182">
        <f t="shared" si="19"/>
        <v>8.7043702976044284E-3</v>
      </c>
      <c r="K24" s="169"/>
      <c r="L24" s="171" t="s">
        <v>129</v>
      </c>
      <c r="M24" s="185">
        <f>M11*0.87%</f>
        <v>35091.319499999998</v>
      </c>
      <c r="N24" s="182">
        <f t="shared" si="20"/>
        <v>8.7049530039516858E-3</v>
      </c>
      <c r="P24" s="169"/>
      <c r="Q24" s="171" t="s">
        <v>129</v>
      </c>
      <c r="R24" s="185">
        <f>R11*0.87%</f>
        <v>35059.608</v>
      </c>
      <c r="S24" s="182">
        <f t="shared" si="21"/>
        <v>8.697086468263714E-3</v>
      </c>
      <c r="U24" s="169"/>
      <c r="V24" s="171" t="s">
        <v>129</v>
      </c>
      <c r="W24" s="185">
        <f>W11*0.87%</f>
        <v>35029.070999999996</v>
      </c>
      <c r="X24" s="182">
        <f t="shared" si="22"/>
        <v>8.6895112857493691E-3</v>
      </c>
      <c r="Z24" s="169"/>
      <c r="AA24" s="171" t="s">
        <v>129</v>
      </c>
      <c r="AB24" s="185">
        <f>AB11*0.87%</f>
        <v>34998.534</v>
      </c>
      <c r="AC24" s="182">
        <f t="shared" si="23"/>
        <v>8.6819361032350242E-3</v>
      </c>
      <c r="AE24" s="169"/>
      <c r="AF24" s="171" t="s">
        <v>129</v>
      </c>
      <c r="AG24" s="185">
        <f>AG11*0.87%</f>
        <v>34966.822499999995</v>
      </c>
      <c r="AH24" s="182">
        <f t="shared" si="24"/>
        <v>8.6740695675470506E-3</v>
      </c>
      <c r="AJ24" s="169"/>
      <c r="AK24" s="171" t="s">
        <v>129</v>
      </c>
      <c r="AL24" s="185">
        <f>AL11*0.87%</f>
        <v>34843.5</v>
      </c>
      <c r="AM24" s="182">
        <f t="shared" si="25"/>
        <v>8.6434774843160457E-3</v>
      </c>
      <c r="AO24" s="169"/>
      <c r="AP24" s="171" t="s">
        <v>129</v>
      </c>
      <c r="AQ24" s="185">
        <f>AQ11*0.87%</f>
        <v>34843.5</v>
      </c>
      <c r="AR24" s="182">
        <f t="shared" si="26"/>
        <v>8.6434774843160457E-3</v>
      </c>
      <c r="AT24" s="169"/>
      <c r="AU24" s="171" t="s">
        <v>129</v>
      </c>
      <c r="AV24" s="185" t="e">
        <f>AV11*0.87%</f>
        <v>#REF!</v>
      </c>
      <c r="AW24" s="182" t="e">
        <f t="shared" si="27"/>
        <v>#REF!</v>
      </c>
    </row>
    <row r="25" spans="1:59" s="359" customFormat="1">
      <c r="A25" s="354"/>
      <c r="B25" s="355" t="s">
        <v>130</v>
      </c>
      <c r="C25" s="356">
        <v>300</v>
      </c>
      <c r="D25" s="357">
        <f t="shared" si="0"/>
        <v>7.4419712293392272E-5</v>
      </c>
      <c r="E25" s="358"/>
      <c r="F25" s="354"/>
      <c r="G25" s="355" t="s">
        <v>130</v>
      </c>
      <c r="H25" s="356">
        <v>300</v>
      </c>
      <c r="I25" s="357">
        <f t="shared" si="19"/>
        <v>7.4419712293392272E-5</v>
      </c>
      <c r="J25" s="358"/>
      <c r="K25" s="354"/>
      <c r="L25" s="355" t="s">
        <v>130</v>
      </c>
      <c r="M25" s="356">
        <v>300</v>
      </c>
      <c r="N25" s="357">
        <f t="shared" si="20"/>
        <v>7.4419712293392272E-5</v>
      </c>
      <c r="O25" s="358"/>
      <c r="P25" s="354"/>
      <c r="Q25" s="355" t="s">
        <v>130</v>
      </c>
      <c r="R25" s="356">
        <v>300</v>
      </c>
      <c r="S25" s="357">
        <f t="shared" si="21"/>
        <v>7.4419712293392272E-5</v>
      </c>
      <c r="T25" s="358"/>
      <c r="U25" s="354"/>
      <c r="V25" s="355" t="s">
        <v>130</v>
      </c>
      <c r="W25" s="356">
        <v>300</v>
      </c>
      <c r="X25" s="357">
        <f t="shared" si="22"/>
        <v>7.4419712293392272E-5</v>
      </c>
      <c r="Y25" s="358"/>
      <c r="Z25" s="354"/>
      <c r="AA25" s="355" t="s">
        <v>130</v>
      </c>
      <c r="AB25" s="356">
        <v>300</v>
      </c>
      <c r="AC25" s="357">
        <f t="shared" si="23"/>
        <v>7.4419712293392272E-5</v>
      </c>
      <c r="AD25" s="358"/>
      <c r="AE25" s="354"/>
      <c r="AF25" s="355" t="s">
        <v>130</v>
      </c>
      <c r="AG25" s="356">
        <v>300</v>
      </c>
      <c r="AH25" s="357">
        <f t="shared" si="24"/>
        <v>7.4419712293392272E-5</v>
      </c>
      <c r="AI25" s="358"/>
      <c r="AJ25" s="354"/>
      <c r="AK25" s="355" t="s">
        <v>130</v>
      </c>
      <c r="AL25" s="356">
        <v>300</v>
      </c>
      <c r="AM25" s="357">
        <f t="shared" si="25"/>
        <v>7.4419712293392272E-5</v>
      </c>
      <c r="AN25" s="358"/>
      <c r="AO25" s="354"/>
      <c r="AP25" s="355" t="s">
        <v>130</v>
      </c>
      <c r="AQ25" s="356">
        <v>300</v>
      </c>
      <c r="AR25" s="357">
        <f t="shared" si="26"/>
        <v>7.4419712293392272E-5</v>
      </c>
      <c r="AS25" s="358"/>
      <c r="AT25" s="354"/>
      <c r="AU25" s="355" t="s">
        <v>130</v>
      </c>
      <c r="AV25" s="356">
        <v>300</v>
      </c>
      <c r="AW25" s="357">
        <f t="shared" si="27"/>
        <v>7.4419712293392272E-5</v>
      </c>
      <c r="AX25" s="358"/>
      <c r="AY25" s="358"/>
      <c r="AZ25" s="358"/>
      <c r="BA25" s="358"/>
      <c r="BB25" s="358"/>
      <c r="BC25" s="358"/>
      <c r="BD25" s="358"/>
      <c r="BE25" s="358"/>
      <c r="BF25" s="358"/>
      <c r="BG25" s="358"/>
    </row>
    <row r="26" spans="1:59">
      <c r="A26" s="169"/>
      <c r="B26" s="171" t="s">
        <v>131</v>
      </c>
      <c r="C26" s="185">
        <v>50</v>
      </c>
      <c r="D26" s="182">
        <f t="shared" si="0"/>
        <v>1.2403285382232046E-5</v>
      </c>
      <c r="F26" s="169"/>
      <c r="G26" s="171" t="s">
        <v>131</v>
      </c>
      <c r="H26" s="185">
        <v>50</v>
      </c>
      <c r="I26" s="182">
        <f t="shared" si="19"/>
        <v>1.2403285382232046E-5</v>
      </c>
      <c r="K26" s="169"/>
      <c r="L26" s="171" t="s">
        <v>131</v>
      </c>
      <c r="M26" s="185">
        <v>50</v>
      </c>
      <c r="N26" s="182">
        <f t="shared" si="20"/>
        <v>1.2403285382232046E-5</v>
      </c>
      <c r="P26" s="169"/>
      <c r="Q26" s="171" t="s">
        <v>131</v>
      </c>
      <c r="R26" s="185">
        <v>50</v>
      </c>
      <c r="S26" s="182">
        <f t="shared" si="21"/>
        <v>1.2403285382232046E-5</v>
      </c>
      <c r="U26" s="169"/>
      <c r="V26" s="171" t="s">
        <v>131</v>
      </c>
      <c r="W26" s="185">
        <v>50</v>
      </c>
      <c r="X26" s="182">
        <f t="shared" si="22"/>
        <v>1.2403285382232046E-5</v>
      </c>
      <c r="Z26" s="169"/>
      <c r="AA26" s="171" t="s">
        <v>131</v>
      </c>
      <c r="AB26" s="185">
        <v>50</v>
      </c>
      <c r="AC26" s="182">
        <f t="shared" si="23"/>
        <v>1.2403285382232046E-5</v>
      </c>
      <c r="AE26" s="169"/>
      <c r="AF26" s="171" t="s">
        <v>131</v>
      </c>
      <c r="AG26" s="185">
        <v>50</v>
      </c>
      <c r="AH26" s="182">
        <f t="shared" si="24"/>
        <v>1.2403285382232046E-5</v>
      </c>
      <c r="AJ26" s="169"/>
      <c r="AK26" s="171" t="s">
        <v>131</v>
      </c>
      <c r="AL26" s="185">
        <v>50</v>
      </c>
      <c r="AM26" s="182">
        <f t="shared" si="25"/>
        <v>1.2403285382232046E-5</v>
      </c>
      <c r="AO26" s="169"/>
      <c r="AP26" s="171" t="s">
        <v>131</v>
      </c>
      <c r="AQ26" s="185">
        <v>50</v>
      </c>
      <c r="AR26" s="182">
        <f t="shared" si="26"/>
        <v>1.2403285382232046E-5</v>
      </c>
      <c r="AT26" s="169"/>
      <c r="AU26" s="171" t="s">
        <v>131</v>
      </c>
      <c r="AV26" s="185">
        <v>50</v>
      </c>
      <c r="AW26" s="182">
        <f t="shared" si="27"/>
        <v>1.2403285382232046E-5</v>
      </c>
    </row>
    <row r="27" spans="1:59" s="359" customFormat="1">
      <c r="A27" s="354"/>
      <c r="B27" s="355" t="s">
        <v>132</v>
      </c>
      <c r="C27" s="356">
        <v>300</v>
      </c>
      <c r="D27" s="357">
        <f t="shared" si="0"/>
        <v>7.4419712293392272E-5</v>
      </c>
      <c r="E27" s="358"/>
      <c r="F27" s="354"/>
      <c r="G27" s="355" t="s">
        <v>132</v>
      </c>
      <c r="H27" s="356">
        <v>300</v>
      </c>
      <c r="I27" s="357">
        <f t="shared" si="19"/>
        <v>7.4419712293392272E-5</v>
      </c>
      <c r="J27" s="358"/>
      <c r="K27" s="354"/>
      <c r="L27" s="355" t="s">
        <v>132</v>
      </c>
      <c r="M27" s="356">
        <v>300</v>
      </c>
      <c r="N27" s="357">
        <f t="shared" si="20"/>
        <v>7.4419712293392272E-5</v>
      </c>
      <c r="O27" s="358"/>
      <c r="P27" s="354"/>
      <c r="Q27" s="355" t="s">
        <v>132</v>
      </c>
      <c r="R27" s="356">
        <v>300</v>
      </c>
      <c r="S27" s="357">
        <f t="shared" si="21"/>
        <v>7.4419712293392272E-5</v>
      </c>
      <c r="T27" s="358"/>
      <c r="U27" s="354"/>
      <c r="V27" s="355" t="s">
        <v>132</v>
      </c>
      <c r="W27" s="356">
        <v>300</v>
      </c>
      <c r="X27" s="357">
        <f t="shared" si="22"/>
        <v>7.4419712293392272E-5</v>
      </c>
      <c r="Y27" s="358"/>
      <c r="Z27" s="354"/>
      <c r="AA27" s="355" t="s">
        <v>132</v>
      </c>
      <c r="AB27" s="356">
        <v>300</v>
      </c>
      <c r="AC27" s="357">
        <f t="shared" si="23"/>
        <v>7.4419712293392272E-5</v>
      </c>
      <c r="AD27" s="358"/>
      <c r="AE27" s="354"/>
      <c r="AF27" s="355" t="s">
        <v>132</v>
      </c>
      <c r="AG27" s="356">
        <v>300</v>
      </c>
      <c r="AH27" s="357">
        <f t="shared" si="24"/>
        <v>7.4419712293392272E-5</v>
      </c>
      <c r="AI27" s="358"/>
      <c r="AJ27" s="354"/>
      <c r="AK27" s="355" t="s">
        <v>132</v>
      </c>
      <c r="AL27" s="356">
        <v>300</v>
      </c>
      <c r="AM27" s="357">
        <f t="shared" si="25"/>
        <v>7.4419712293392272E-5</v>
      </c>
      <c r="AN27" s="358"/>
      <c r="AO27" s="354"/>
      <c r="AP27" s="355" t="s">
        <v>132</v>
      </c>
      <c r="AQ27" s="356">
        <v>300</v>
      </c>
      <c r="AR27" s="357">
        <f t="shared" si="26"/>
        <v>7.4419712293392272E-5</v>
      </c>
      <c r="AS27" s="358"/>
      <c r="AT27" s="354"/>
      <c r="AU27" s="355" t="s">
        <v>132</v>
      </c>
      <c r="AV27" s="356">
        <v>300</v>
      </c>
      <c r="AW27" s="357">
        <f t="shared" si="27"/>
        <v>7.4419712293392272E-5</v>
      </c>
      <c r="AX27" s="358"/>
      <c r="AY27" s="358"/>
      <c r="AZ27" s="358"/>
      <c r="BA27" s="358"/>
      <c r="BB27" s="358"/>
      <c r="BC27" s="358"/>
      <c r="BD27" s="358"/>
      <c r="BE27" s="358"/>
      <c r="BF27" s="358"/>
      <c r="BG27" s="358"/>
    </row>
    <row r="28" spans="1:59">
      <c r="A28" s="169"/>
      <c r="B28" s="171" t="s">
        <v>133</v>
      </c>
      <c r="C28" s="185">
        <v>100</v>
      </c>
      <c r="D28" s="182">
        <f t="shared" si="0"/>
        <v>2.4806570764464093E-5</v>
      </c>
      <c r="F28" s="169"/>
      <c r="G28" s="171" t="s">
        <v>133</v>
      </c>
      <c r="H28" s="185">
        <v>100</v>
      </c>
      <c r="I28" s="182">
        <f t="shared" si="19"/>
        <v>2.4806570764464093E-5</v>
      </c>
      <c r="K28" s="169"/>
      <c r="L28" s="171" t="s">
        <v>133</v>
      </c>
      <c r="M28" s="185">
        <v>100</v>
      </c>
      <c r="N28" s="182">
        <f t="shared" si="20"/>
        <v>2.4806570764464093E-5</v>
      </c>
      <c r="P28" s="169"/>
      <c r="Q28" s="171" t="s">
        <v>133</v>
      </c>
      <c r="R28" s="185">
        <v>100</v>
      </c>
      <c r="S28" s="182">
        <f t="shared" si="21"/>
        <v>2.4806570764464093E-5</v>
      </c>
      <c r="U28" s="169"/>
      <c r="V28" s="171" t="s">
        <v>133</v>
      </c>
      <c r="W28" s="185">
        <v>100</v>
      </c>
      <c r="X28" s="182">
        <f t="shared" si="22"/>
        <v>2.4806570764464093E-5</v>
      </c>
      <c r="Z28" s="169"/>
      <c r="AA28" s="171" t="s">
        <v>133</v>
      </c>
      <c r="AB28" s="185">
        <v>100</v>
      </c>
      <c r="AC28" s="182">
        <f t="shared" si="23"/>
        <v>2.4806570764464093E-5</v>
      </c>
      <c r="AE28" s="169"/>
      <c r="AF28" s="171" t="s">
        <v>133</v>
      </c>
      <c r="AG28" s="185">
        <v>100</v>
      </c>
      <c r="AH28" s="182">
        <f t="shared" si="24"/>
        <v>2.4806570764464093E-5</v>
      </c>
      <c r="AJ28" s="169"/>
      <c r="AK28" s="171" t="s">
        <v>133</v>
      </c>
      <c r="AL28" s="185">
        <v>100</v>
      </c>
      <c r="AM28" s="182">
        <f t="shared" si="25"/>
        <v>2.4806570764464093E-5</v>
      </c>
      <c r="AO28" s="169"/>
      <c r="AP28" s="171" t="s">
        <v>133</v>
      </c>
      <c r="AQ28" s="185">
        <v>100</v>
      </c>
      <c r="AR28" s="182">
        <f t="shared" si="26"/>
        <v>2.4806570764464093E-5</v>
      </c>
      <c r="AT28" s="169"/>
      <c r="AU28" s="171" t="s">
        <v>133</v>
      </c>
      <c r="AV28" s="185">
        <v>100</v>
      </c>
      <c r="AW28" s="182">
        <f t="shared" si="27"/>
        <v>2.4806570764464093E-5</v>
      </c>
    </row>
    <row r="29" spans="1:59" s="359" customFormat="1">
      <c r="A29" s="354"/>
      <c r="B29" s="355" t="s">
        <v>134</v>
      </c>
      <c r="C29" s="356">
        <v>200</v>
      </c>
      <c r="D29" s="357">
        <f t="shared" si="0"/>
        <v>4.9613141528928186E-5</v>
      </c>
      <c r="E29" s="358"/>
      <c r="F29" s="354"/>
      <c r="G29" s="355" t="s">
        <v>134</v>
      </c>
      <c r="H29" s="356">
        <v>200</v>
      </c>
      <c r="I29" s="357">
        <f t="shared" si="19"/>
        <v>4.9613141528928186E-5</v>
      </c>
      <c r="J29" s="358"/>
      <c r="K29" s="354"/>
      <c r="L29" s="355" t="s">
        <v>134</v>
      </c>
      <c r="M29" s="356">
        <v>200</v>
      </c>
      <c r="N29" s="357">
        <f t="shared" si="20"/>
        <v>4.9613141528928186E-5</v>
      </c>
      <c r="O29" s="358"/>
      <c r="P29" s="354"/>
      <c r="Q29" s="355" t="s">
        <v>134</v>
      </c>
      <c r="R29" s="356">
        <v>200</v>
      </c>
      <c r="S29" s="357">
        <f t="shared" si="21"/>
        <v>4.9613141528928186E-5</v>
      </c>
      <c r="T29" s="358"/>
      <c r="U29" s="354"/>
      <c r="V29" s="355" t="s">
        <v>134</v>
      </c>
      <c r="W29" s="356">
        <v>200</v>
      </c>
      <c r="X29" s="357">
        <f t="shared" si="22"/>
        <v>4.9613141528928186E-5</v>
      </c>
      <c r="Y29" s="358"/>
      <c r="Z29" s="354"/>
      <c r="AA29" s="355" t="s">
        <v>134</v>
      </c>
      <c r="AB29" s="356">
        <v>200</v>
      </c>
      <c r="AC29" s="357">
        <f t="shared" si="23"/>
        <v>4.9613141528928186E-5</v>
      </c>
      <c r="AD29" s="358"/>
      <c r="AE29" s="354"/>
      <c r="AF29" s="355" t="s">
        <v>134</v>
      </c>
      <c r="AG29" s="356">
        <v>200</v>
      </c>
      <c r="AH29" s="357">
        <f t="shared" si="24"/>
        <v>4.9613141528928186E-5</v>
      </c>
      <c r="AI29" s="358"/>
      <c r="AJ29" s="354"/>
      <c r="AK29" s="355" t="s">
        <v>134</v>
      </c>
      <c r="AL29" s="356">
        <v>200</v>
      </c>
      <c r="AM29" s="357">
        <f t="shared" si="25"/>
        <v>4.9613141528928186E-5</v>
      </c>
      <c r="AN29" s="358"/>
      <c r="AO29" s="354"/>
      <c r="AP29" s="355" t="s">
        <v>134</v>
      </c>
      <c r="AQ29" s="356">
        <v>200</v>
      </c>
      <c r="AR29" s="357">
        <f t="shared" si="26"/>
        <v>4.9613141528928186E-5</v>
      </c>
      <c r="AS29" s="358"/>
      <c r="AT29" s="354"/>
      <c r="AU29" s="355" t="s">
        <v>134</v>
      </c>
      <c r="AV29" s="356">
        <v>200</v>
      </c>
      <c r="AW29" s="357">
        <f t="shared" si="27"/>
        <v>4.9613141528928186E-5</v>
      </c>
      <c r="AX29" s="358"/>
      <c r="AY29" s="358"/>
      <c r="AZ29" s="358"/>
      <c r="BA29" s="358"/>
      <c r="BB29" s="358"/>
      <c r="BC29" s="358"/>
      <c r="BD29" s="358"/>
      <c r="BE29" s="358"/>
      <c r="BF29" s="358"/>
      <c r="BG29" s="358"/>
    </row>
    <row r="30" spans="1:59">
      <c r="A30" s="169"/>
      <c r="B30" s="171" t="s">
        <v>135</v>
      </c>
      <c r="C30" s="185">
        <v>100</v>
      </c>
      <c r="D30" s="182">
        <f t="shared" si="0"/>
        <v>2.4806570764464093E-5</v>
      </c>
      <c r="F30" s="169"/>
      <c r="G30" s="171" t="s">
        <v>135</v>
      </c>
      <c r="H30" s="185">
        <v>100</v>
      </c>
      <c r="I30" s="182">
        <f t="shared" si="19"/>
        <v>2.4806570764464093E-5</v>
      </c>
      <c r="K30" s="169"/>
      <c r="L30" s="171" t="s">
        <v>135</v>
      </c>
      <c r="M30" s="185">
        <v>100</v>
      </c>
      <c r="N30" s="182">
        <f t="shared" si="20"/>
        <v>2.4806570764464093E-5</v>
      </c>
      <c r="P30" s="169"/>
      <c r="Q30" s="171" t="s">
        <v>135</v>
      </c>
      <c r="R30" s="185">
        <v>100</v>
      </c>
      <c r="S30" s="182">
        <f t="shared" si="21"/>
        <v>2.4806570764464093E-5</v>
      </c>
      <c r="U30" s="169"/>
      <c r="V30" s="171" t="s">
        <v>135</v>
      </c>
      <c r="W30" s="185">
        <v>100</v>
      </c>
      <c r="X30" s="182">
        <f t="shared" si="22"/>
        <v>2.4806570764464093E-5</v>
      </c>
      <c r="Z30" s="169"/>
      <c r="AA30" s="171" t="s">
        <v>135</v>
      </c>
      <c r="AB30" s="185">
        <v>100</v>
      </c>
      <c r="AC30" s="182">
        <f t="shared" si="23"/>
        <v>2.4806570764464093E-5</v>
      </c>
      <c r="AE30" s="169"/>
      <c r="AF30" s="171" t="s">
        <v>135</v>
      </c>
      <c r="AG30" s="185">
        <v>100</v>
      </c>
      <c r="AH30" s="182">
        <f t="shared" si="24"/>
        <v>2.4806570764464093E-5</v>
      </c>
      <c r="AJ30" s="169"/>
      <c r="AK30" s="171" t="s">
        <v>135</v>
      </c>
      <c r="AL30" s="185">
        <v>100</v>
      </c>
      <c r="AM30" s="182">
        <f t="shared" si="25"/>
        <v>2.4806570764464093E-5</v>
      </c>
      <c r="AO30" s="169"/>
      <c r="AP30" s="171" t="s">
        <v>135</v>
      </c>
      <c r="AQ30" s="185">
        <v>100</v>
      </c>
      <c r="AR30" s="182">
        <f t="shared" si="26"/>
        <v>2.4806570764464093E-5</v>
      </c>
      <c r="AT30" s="169"/>
      <c r="AU30" s="171" t="s">
        <v>135</v>
      </c>
      <c r="AV30" s="185">
        <v>100</v>
      </c>
      <c r="AW30" s="182">
        <f t="shared" si="27"/>
        <v>2.4806570764464093E-5</v>
      </c>
    </row>
    <row r="31" spans="1:59">
      <c r="A31" s="169"/>
      <c r="B31" s="171" t="s">
        <v>136</v>
      </c>
      <c r="C31" s="185">
        <v>100</v>
      </c>
      <c r="D31" s="182">
        <f t="shared" si="0"/>
        <v>2.4806570764464093E-5</v>
      </c>
      <c r="F31" s="169"/>
      <c r="G31" s="171" t="s">
        <v>136</v>
      </c>
      <c r="H31" s="185">
        <v>100</v>
      </c>
      <c r="I31" s="182">
        <f t="shared" si="19"/>
        <v>2.4806570764464093E-5</v>
      </c>
      <c r="K31" s="169"/>
      <c r="L31" s="171" t="s">
        <v>136</v>
      </c>
      <c r="M31" s="185">
        <v>100</v>
      </c>
      <c r="N31" s="182">
        <f t="shared" si="20"/>
        <v>2.4806570764464093E-5</v>
      </c>
      <c r="P31" s="169"/>
      <c r="Q31" s="171" t="s">
        <v>136</v>
      </c>
      <c r="R31" s="185">
        <v>100</v>
      </c>
      <c r="S31" s="182">
        <f t="shared" si="21"/>
        <v>2.4806570764464093E-5</v>
      </c>
      <c r="U31" s="169"/>
      <c r="V31" s="171" t="s">
        <v>136</v>
      </c>
      <c r="W31" s="185">
        <v>100</v>
      </c>
      <c r="X31" s="182">
        <f t="shared" si="22"/>
        <v>2.4806570764464093E-5</v>
      </c>
      <c r="Z31" s="169"/>
      <c r="AA31" s="171" t="s">
        <v>136</v>
      </c>
      <c r="AB31" s="185">
        <v>100</v>
      </c>
      <c r="AC31" s="182">
        <f t="shared" si="23"/>
        <v>2.4806570764464093E-5</v>
      </c>
      <c r="AE31" s="169"/>
      <c r="AF31" s="171" t="s">
        <v>136</v>
      </c>
      <c r="AG31" s="185">
        <v>100</v>
      </c>
      <c r="AH31" s="182">
        <f t="shared" si="24"/>
        <v>2.4806570764464093E-5</v>
      </c>
      <c r="AJ31" s="169"/>
      <c r="AK31" s="171" t="s">
        <v>136</v>
      </c>
      <c r="AL31" s="185">
        <v>100</v>
      </c>
      <c r="AM31" s="182">
        <f t="shared" si="25"/>
        <v>2.4806570764464093E-5</v>
      </c>
      <c r="AO31" s="169"/>
      <c r="AP31" s="171" t="s">
        <v>136</v>
      </c>
      <c r="AQ31" s="185">
        <v>100</v>
      </c>
      <c r="AR31" s="182">
        <f t="shared" si="26"/>
        <v>2.4806570764464093E-5</v>
      </c>
      <c r="AT31" s="169"/>
      <c r="AU31" s="171" t="s">
        <v>136</v>
      </c>
      <c r="AV31" s="185">
        <v>100</v>
      </c>
      <c r="AW31" s="182">
        <f t="shared" si="27"/>
        <v>2.4806570764464093E-5</v>
      </c>
    </row>
    <row r="32" spans="1:59">
      <c r="A32" s="169"/>
      <c r="B32" s="171" t="s">
        <v>137</v>
      </c>
      <c r="C32" s="185">
        <v>100</v>
      </c>
      <c r="D32" s="182">
        <f t="shared" si="0"/>
        <v>2.4806570764464093E-5</v>
      </c>
      <c r="F32" s="169"/>
      <c r="G32" s="171" t="s">
        <v>137</v>
      </c>
      <c r="H32" s="185">
        <v>100</v>
      </c>
      <c r="I32" s="182">
        <f t="shared" si="19"/>
        <v>2.4806570764464093E-5</v>
      </c>
      <c r="K32" s="169"/>
      <c r="L32" s="171" t="s">
        <v>137</v>
      </c>
      <c r="M32" s="185">
        <v>100</v>
      </c>
      <c r="N32" s="182">
        <f t="shared" si="20"/>
        <v>2.4806570764464093E-5</v>
      </c>
      <c r="P32" s="169"/>
      <c r="Q32" s="171" t="s">
        <v>137</v>
      </c>
      <c r="R32" s="185">
        <v>100</v>
      </c>
      <c r="S32" s="182">
        <f t="shared" si="21"/>
        <v>2.4806570764464093E-5</v>
      </c>
      <c r="U32" s="169"/>
      <c r="V32" s="171" t="s">
        <v>137</v>
      </c>
      <c r="W32" s="185">
        <v>100</v>
      </c>
      <c r="X32" s="182">
        <f t="shared" si="22"/>
        <v>2.4806570764464093E-5</v>
      </c>
      <c r="Z32" s="169"/>
      <c r="AA32" s="171" t="s">
        <v>137</v>
      </c>
      <c r="AB32" s="185">
        <v>100</v>
      </c>
      <c r="AC32" s="182">
        <f t="shared" si="23"/>
        <v>2.4806570764464093E-5</v>
      </c>
      <c r="AE32" s="169"/>
      <c r="AF32" s="171" t="s">
        <v>137</v>
      </c>
      <c r="AG32" s="185">
        <v>100</v>
      </c>
      <c r="AH32" s="182">
        <f t="shared" si="24"/>
        <v>2.4806570764464093E-5</v>
      </c>
      <c r="AJ32" s="169"/>
      <c r="AK32" s="171" t="s">
        <v>137</v>
      </c>
      <c r="AL32" s="185">
        <v>100</v>
      </c>
      <c r="AM32" s="182">
        <f t="shared" si="25"/>
        <v>2.4806570764464093E-5</v>
      </c>
      <c r="AO32" s="169"/>
      <c r="AP32" s="171" t="s">
        <v>137</v>
      </c>
      <c r="AQ32" s="185">
        <v>100</v>
      </c>
      <c r="AR32" s="182">
        <f t="shared" si="26"/>
        <v>2.4806570764464093E-5</v>
      </c>
      <c r="AT32" s="169"/>
      <c r="AU32" s="171" t="s">
        <v>137</v>
      </c>
      <c r="AV32" s="185">
        <v>100</v>
      </c>
      <c r="AW32" s="182">
        <f t="shared" si="27"/>
        <v>2.4806570764464093E-5</v>
      </c>
    </row>
    <row r="33" spans="1:59">
      <c r="A33" s="169"/>
      <c r="B33" s="171" t="s">
        <v>138</v>
      </c>
      <c r="C33" s="185">
        <v>850</v>
      </c>
      <c r="D33" s="182">
        <f t="shared" si="0"/>
        <v>2.1085585149794477E-4</v>
      </c>
      <c r="F33" s="169"/>
      <c r="G33" s="171" t="s">
        <v>138</v>
      </c>
      <c r="H33" s="185">
        <v>850</v>
      </c>
      <c r="I33" s="182">
        <f t="shared" si="19"/>
        <v>2.1085585149794477E-4</v>
      </c>
      <c r="K33" s="169"/>
      <c r="L33" s="171" t="s">
        <v>138</v>
      </c>
      <c r="M33" s="185">
        <v>850</v>
      </c>
      <c r="N33" s="182">
        <f t="shared" si="20"/>
        <v>2.1085585149794477E-4</v>
      </c>
      <c r="P33" s="169"/>
      <c r="Q33" s="171" t="s">
        <v>138</v>
      </c>
      <c r="R33" s="185">
        <v>850</v>
      </c>
      <c r="S33" s="182">
        <f t="shared" si="21"/>
        <v>2.1085585149794477E-4</v>
      </c>
      <c r="U33" s="169"/>
      <c r="V33" s="171" t="s">
        <v>138</v>
      </c>
      <c r="W33" s="185">
        <v>850</v>
      </c>
      <c r="X33" s="182">
        <f t="shared" si="22"/>
        <v>2.1085585149794477E-4</v>
      </c>
      <c r="Z33" s="169"/>
      <c r="AA33" s="171" t="s">
        <v>138</v>
      </c>
      <c r="AB33" s="185">
        <v>850</v>
      </c>
      <c r="AC33" s="182">
        <f t="shared" si="23"/>
        <v>2.1085585149794477E-4</v>
      </c>
      <c r="AE33" s="169"/>
      <c r="AF33" s="171" t="s">
        <v>138</v>
      </c>
      <c r="AG33" s="185">
        <v>850</v>
      </c>
      <c r="AH33" s="182">
        <f t="shared" si="24"/>
        <v>2.1085585149794477E-4</v>
      </c>
      <c r="AJ33" s="169"/>
      <c r="AK33" s="171" t="s">
        <v>138</v>
      </c>
      <c r="AL33" s="185">
        <v>850</v>
      </c>
      <c r="AM33" s="182">
        <f t="shared" si="25"/>
        <v>2.1085585149794477E-4</v>
      </c>
      <c r="AO33" s="169"/>
      <c r="AP33" s="171" t="s">
        <v>138</v>
      </c>
      <c r="AQ33" s="185">
        <v>850</v>
      </c>
      <c r="AR33" s="182">
        <f t="shared" si="26"/>
        <v>2.1085585149794477E-4</v>
      </c>
      <c r="AT33" s="169"/>
      <c r="AU33" s="171" t="s">
        <v>138</v>
      </c>
      <c r="AV33" s="185">
        <v>850</v>
      </c>
      <c r="AW33" s="182">
        <f t="shared" si="27"/>
        <v>2.1085585149794477E-4</v>
      </c>
    </row>
    <row r="34" spans="1:59">
      <c r="A34" s="169"/>
      <c r="B34" s="171" t="s">
        <v>139</v>
      </c>
      <c r="C34" s="185">
        <v>100</v>
      </c>
      <c r="D34" s="182">
        <f t="shared" si="0"/>
        <v>2.4806570764464093E-5</v>
      </c>
      <c r="F34" s="169"/>
      <c r="G34" s="171" t="s">
        <v>139</v>
      </c>
      <c r="H34" s="185">
        <v>100</v>
      </c>
      <c r="I34" s="182">
        <f t="shared" si="19"/>
        <v>2.4806570764464093E-5</v>
      </c>
      <c r="K34" s="169"/>
      <c r="L34" s="171" t="s">
        <v>139</v>
      </c>
      <c r="M34" s="185">
        <v>100</v>
      </c>
      <c r="N34" s="182">
        <f t="shared" si="20"/>
        <v>2.4806570764464093E-5</v>
      </c>
      <c r="P34" s="169"/>
      <c r="Q34" s="171" t="s">
        <v>139</v>
      </c>
      <c r="R34" s="185">
        <v>100</v>
      </c>
      <c r="S34" s="182">
        <f t="shared" si="21"/>
        <v>2.4806570764464093E-5</v>
      </c>
      <c r="U34" s="169"/>
      <c r="V34" s="171" t="s">
        <v>139</v>
      </c>
      <c r="W34" s="185">
        <v>100</v>
      </c>
      <c r="X34" s="182">
        <f t="shared" si="22"/>
        <v>2.4806570764464093E-5</v>
      </c>
      <c r="Z34" s="169"/>
      <c r="AA34" s="171" t="s">
        <v>139</v>
      </c>
      <c r="AB34" s="185">
        <v>100</v>
      </c>
      <c r="AC34" s="182">
        <f t="shared" si="23"/>
        <v>2.4806570764464093E-5</v>
      </c>
      <c r="AE34" s="169"/>
      <c r="AF34" s="171" t="s">
        <v>139</v>
      </c>
      <c r="AG34" s="185">
        <v>100</v>
      </c>
      <c r="AH34" s="182">
        <f t="shared" si="24"/>
        <v>2.4806570764464093E-5</v>
      </c>
      <c r="AJ34" s="169"/>
      <c r="AK34" s="171" t="s">
        <v>139</v>
      </c>
      <c r="AL34" s="185">
        <v>100</v>
      </c>
      <c r="AM34" s="182">
        <f t="shared" si="25"/>
        <v>2.4806570764464093E-5</v>
      </c>
      <c r="AO34" s="169"/>
      <c r="AP34" s="171" t="s">
        <v>139</v>
      </c>
      <c r="AQ34" s="185">
        <v>100</v>
      </c>
      <c r="AR34" s="182">
        <f t="shared" si="26"/>
        <v>2.4806570764464093E-5</v>
      </c>
      <c r="AT34" s="169"/>
      <c r="AU34" s="171" t="s">
        <v>139</v>
      </c>
      <c r="AV34" s="185">
        <v>100</v>
      </c>
      <c r="AW34" s="182">
        <f t="shared" si="27"/>
        <v>2.4806570764464093E-5</v>
      </c>
    </row>
    <row r="35" spans="1:59">
      <c r="A35" s="169"/>
      <c r="B35" s="171" t="s">
        <v>140</v>
      </c>
      <c r="C35" s="185">
        <v>100</v>
      </c>
      <c r="D35" s="182">
        <f t="shared" si="0"/>
        <v>2.4806570764464093E-5</v>
      </c>
      <c r="F35" s="169"/>
      <c r="G35" s="171" t="s">
        <v>140</v>
      </c>
      <c r="H35" s="185">
        <v>100</v>
      </c>
      <c r="I35" s="182">
        <f t="shared" si="19"/>
        <v>2.4806570764464093E-5</v>
      </c>
      <c r="K35" s="169"/>
      <c r="L35" s="171" t="s">
        <v>140</v>
      </c>
      <c r="M35" s="185">
        <v>100</v>
      </c>
      <c r="N35" s="182">
        <f t="shared" si="20"/>
        <v>2.4806570764464093E-5</v>
      </c>
      <c r="P35" s="169"/>
      <c r="Q35" s="171" t="s">
        <v>140</v>
      </c>
      <c r="R35" s="185">
        <v>100</v>
      </c>
      <c r="S35" s="182">
        <f t="shared" si="21"/>
        <v>2.4806570764464093E-5</v>
      </c>
      <c r="U35" s="169"/>
      <c r="V35" s="171" t="s">
        <v>140</v>
      </c>
      <c r="W35" s="185">
        <v>100</v>
      </c>
      <c r="X35" s="182">
        <f t="shared" si="22"/>
        <v>2.4806570764464093E-5</v>
      </c>
      <c r="Z35" s="169"/>
      <c r="AA35" s="171" t="s">
        <v>140</v>
      </c>
      <c r="AB35" s="185">
        <v>100</v>
      </c>
      <c r="AC35" s="182">
        <f t="shared" si="23"/>
        <v>2.4806570764464093E-5</v>
      </c>
      <c r="AE35" s="169"/>
      <c r="AF35" s="171" t="s">
        <v>140</v>
      </c>
      <c r="AG35" s="185">
        <v>100</v>
      </c>
      <c r="AH35" s="182">
        <f t="shared" si="24"/>
        <v>2.4806570764464093E-5</v>
      </c>
      <c r="AJ35" s="169"/>
      <c r="AK35" s="171" t="s">
        <v>140</v>
      </c>
      <c r="AL35" s="185">
        <v>100</v>
      </c>
      <c r="AM35" s="182">
        <f t="shared" si="25"/>
        <v>2.4806570764464093E-5</v>
      </c>
      <c r="AO35" s="169"/>
      <c r="AP35" s="171" t="s">
        <v>140</v>
      </c>
      <c r="AQ35" s="185">
        <v>100</v>
      </c>
      <c r="AR35" s="182">
        <f t="shared" si="26"/>
        <v>2.4806570764464093E-5</v>
      </c>
      <c r="AT35" s="169"/>
      <c r="AU35" s="171" t="s">
        <v>140</v>
      </c>
      <c r="AV35" s="185">
        <v>100</v>
      </c>
      <c r="AW35" s="182">
        <f t="shared" si="27"/>
        <v>2.4806570764464093E-5</v>
      </c>
    </row>
    <row r="36" spans="1:59" s="359" customFormat="1">
      <c r="A36" s="354"/>
      <c r="B36" s="355" t="s">
        <v>141</v>
      </c>
      <c r="C36" s="356">
        <v>300</v>
      </c>
      <c r="D36" s="357">
        <f t="shared" si="0"/>
        <v>7.4419712293392272E-5</v>
      </c>
      <c r="E36" s="358"/>
      <c r="F36" s="354"/>
      <c r="G36" s="355" t="s">
        <v>141</v>
      </c>
      <c r="H36" s="356">
        <v>300</v>
      </c>
      <c r="I36" s="357">
        <f t="shared" si="19"/>
        <v>7.4419712293392272E-5</v>
      </c>
      <c r="J36" s="358"/>
      <c r="K36" s="354"/>
      <c r="L36" s="355" t="s">
        <v>141</v>
      </c>
      <c r="M36" s="356">
        <v>300</v>
      </c>
      <c r="N36" s="357">
        <f t="shared" si="20"/>
        <v>7.4419712293392272E-5</v>
      </c>
      <c r="O36" s="358"/>
      <c r="P36" s="354"/>
      <c r="Q36" s="355" t="s">
        <v>141</v>
      </c>
      <c r="R36" s="356">
        <v>300</v>
      </c>
      <c r="S36" s="357">
        <f t="shared" si="21"/>
        <v>7.4419712293392272E-5</v>
      </c>
      <c r="T36" s="358"/>
      <c r="U36" s="354"/>
      <c r="V36" s="355" t="s">
        <v>141</v>
      </c>
      <c r="W36" s="356">
        <v>300</v>
      </c>
      <c r="X36" s="357">
        <f t="shared" si="22"/>
        <v>7.4419712293392272E-5</v>
      </c>
      <c r="Y36" s="358"/>
      <c r="Z36" s="354"/>
      <c r="AA36" s="355" t="s">
        <v>141</v>
      </c>
      <c r="AB36" s="356">
        <v>300</v>
      </c>
      <c r="AC36" s="357">
        <f t="shared" si="23"/>
        <v>7.4419712293392272E-5</v>
      </c>
      <c r="AD36" s="358"/>
      <c r="AE36" s="354"/>
      <c r="AF36" s="355" t="s">
        <v>141</v>
      </c>
      <c r="AG36" s="356">
        <v>300</v>
      </c>
      <c r="AH36" s="357">
        <f t="shared" si="24"/>
        <v>7.4419712293392272E-5</v>
      </c>
      <c r="AI36" s="358"/>
      <c r="AJ36" s="354"/>
      <c r="AK36" s="355" t="s">
        <v>141</v>
      </c>
      <c r="AL36" s="356">
        <v>300</v>
      </c>
      <c r="AM36" s="357">
        <f t="shared" si="25"/>
        <v>7.4419712293392272E-5</v>
      </c>
      <c r="AN36" s="358"/>
      <c r="AO36" s="354"/>
      <c r="AP36" s="355" t="s">
        <v>141</v>
      </c>
      <c r="AQ36" s="356">
        <v>300</v>
      </c>
      <c r="AR36" s="357">
        <f t="shared" si="26"/>
        <v>7.4419712293392272E-5</v>
      </c>
      <c r="AS36" s="358"/>
      <c r="AT36" s="354"/>
      <c r="AU36" s="355" t="s">
        <v>141</v>
      </c>
      <c r="AV36" s="356">
        <v>300</v>
      </c>
      <c r="AW36" s="357">
        <f t="shared" si="27"/>
        <v>7.4419712293392272E-5</v>
      </c>
      <c r="AX36" s="358"/>
      <c r="AY36" s="358"/>
      <c r="AZ36" s="358"/>
      <c r="BA36" s="358"/>
      <c r="BB36" s="358"/>
      <c r="BC36" s="358"/>
      <c r="BD36" s="358"/>
      <c r="BE36" s="358"/>
      <c r="BF36" s="358"/>
      <c r="BG36" s="358"/>
    </row>
    <row r="37" spans="1:59">
      <c r="A37" s="169"/>
      <c r="B37" s="171" t="s">
        <v>142</v>
      </c>
      <c r="C37" s="185">
        <v>100</v>
      </c>
      <c r="D37" s="182">
        <f t="shared" si="0"/>
        <v>2.4806570764464093E-5</v>
      </c>
      <c r="F37" s="169"/>
      <c r="G37" s="171" t="s">
        <v>142</v>
      </c>
      <c r="H37" s="185">
        <v>100</v>
      </c>
      <c r="I37" s="182">
        <f t="shared" si="19"/>
        <v>2.4806570764464093E-5</v>
      </c>
      <c r="K37" s="169"/>
      <c r="L37" s="171" t="s">
        <v>142</v>
      </c>
      <c r="M37" s="185">
        <v>100</v>
      </c>
      <c r="N37" s="182">
        <f t="shared" si="20"/>
        <v>2.4806570764464093E-5</v>
      </c>
      <c r="P37" s="169"/>
      <c r="Q37" s="171" t="s">
        <v>142</v>
      </c>
      <c r="R37" s="185">
        <v>100</v>
      </c>
      <c r="S37" s="182">
        <f t="shared" si="21"/>
        <v>2.4806570764464093E-5</v>
      </c>
      <c r="U37" s="169"/>
      <c r="V37" s="171" t="s">
        <v>142</v>
      </c>
      <c r="W37" s="185">
        <v>100</v>
      </c>
      <c r="X37" s="182">
        <f t="shared" si="22"/>
        <v>2.4806570764464093E-5</v>
      </c>
      <c r="Z37" s="169"/>
      <c r="AA37" s="171" t="s">
        <v>142</v>
      </c>
      <c r="AB37" s="185">
        <v>100</v>
      </c>
      <c r="AC37" s="182">
        <f t="shared" si="23"/>
        <v>2.4806570764464093E-5</v>
      </c>
      <c r="AE37" s="169"/>
      <c r="AF37" s="171" t="s">
        <v>142</v>
      </c>
      <c r="AG37" s="185">
        <v>100</v>
      </c>
      <c r="AH37" s="182">
        <f t="shared" si="24"/>
        <v>2.4806570764464093E-5</v>
      </c>
      <c r="AJ37" s="169"/>
      <c r="AK37" s="171" t="s">
        <v>142</v>
      </c>
      <c r="AL37" s="185">
        <v>100</v>
      </c>
      <c r="AM37" s="182">
        <f t="shared" si="25"/>
        <v>2.4806570764464093E-5</v>
      </c>
      <c r="AO37" s="169"/>
      <c r="AP37" s="171" t="s">
        <v>142</v>
      </c>
      <c r="AQ37" s="185">
        <v>100</v>
      </c>
      <c r="AR37" s="182">
        <f t="shared" si="26"/>
        <v>2.4806570764464093E-5</v>
      </c>
      <c r="AT37" s="169"/>
      <c r="AU37" s="171" t="s">
        <v>142</v>
      </c>
      <c r="AV37" s="185">
        <v>100</v>
      </c>
      <c r="AW37" s="182">
        <f t="shared" si="27"/>
        <v>2.4806570764464093E-5</v>
      </c>
    </row>
    <row r="38" spans="1:59" s="359" customFormat="1">
      <c r="A38" s="354"/>
      <c r="B38" s="355" t="s">
        <v>143</v>
      </c>
      <c r="C38" s="356">
        <v>200</v>
      </c>
      <c r="D38" s="357">
        <f t="shared" si="0"/>
        <v>4.9613141528928186E-5</v>
      </c>
      <c r="E38" s="358"/>
      <c r="F38" s="354"/>
      <c r="G38" s="355" t="s">
        <v>143</v>
      </c>
      <c r="H38" s="356">
        <v>200</v>
      </c>
      <c r="I38" s="357">
        <f t="shared" si="19"/>
        <v>4.9613141528928186E-5</v>
      </c>
      <c r="J38" s="358"/>
      <c r="K38" s="354"/>
      <c r="L38" s="355" t="s">
        <v>143</v>
      </c>
      <c r="M38" s="356">
        <v>200</v>
      </c>
      <c r="N38" s="357">
        <f t="shared" si="20"/>
        <v>4.9613141528928186E-5</v>
      </c>
      <c r="O38" s="358"/>
      <c r="P38" s="354"/>
      <c r="Q38" s="355" t="s">
        <v>143</v>
      </c>
      <c r="R38" s="356">
        <v>200</v>
      </c>
      <c r="S38" s="357">
        <f t="shared" si="21"/>
        <v>4.9613141528928186E-5</v>
      </c>
      <c r="T38" s="358"/>
      <c r="U38" s="354"/>
      <c r="V38" s="355" t="s">
        <v>143</v>
      </c>
      <c r="W38" s="356">
        <v>200</v>
      </c>
      <c r="X38" s="357">
        <f t="shared" si="22"/>
        <v>4.9613141528928186E-5</v>
      </c>
      <c r="Y38" s="358"/>
      <c r="Z38" s="354"/>
      <c r="AA38" s="355" t="s">
        <v>143</v>
      </c>
      <c r="AB38" s="356">
        <v>200</v>
      </c>
      <c r="AC38" s="357">
        <f t="shared" si="23"/>
        <v>4.9613141528928186E-5</v>
      </c>
      <c r="AD38" s="358"/>
      <c r="AE38" s="354"/>
      <c r="AF38" s="355" t="s">
        <v>143</v>
      </c>
      <c r="AG38" s="356">
        <v>200</v>
      </c>
      <c r="AH38" s="357">
        <f t="shared" si="24"/>
        <v>4.9613141528928186E-5</v>
      </c>
      <c r="AI38" s="358"/>
      <c r="AJ38" s="354"/>
      <c r="AK38" s="355" t="s">
        <v>143</v>
      </c>
      <c r="AL38" s="356">
        <v>200</v>
      </c>
      <c r="AM38" s="357">
        <f t="shared" si="25"/>
        <v>4.9613141528928186E-5</v>
      </c>
      <c r="AN38" s="358"/>
      <c r="AO38" s="354"/>
      <c r="AP38" s="355" t="s">
        <v>143</v>
      </c>
      <c r="AQ38" s="356">
        <v>200</v>
      </c>
      <c r="AR38" s="357">
        <f t="shared" si="26"/>
        <v>4.9613141528928186E-5</v>
      </c>
      <c r="AS38" s="358"/>
      <c r="AT38" s="354"/>
      <c r="AU38" s="355" t="s">
        <v>143</v>
      </c>
      <c r="AV38" s="356">
        <v>200</v>
      </c>
      <c r="AW38" s="357">
        <f t="shared" si="27"/>
        <v>4.9613141528928186E-5</v>
      </c>
      <c r="AX38" s="358"/>
      <c r="AY38" s="358"/>
      <c r="AZ38" s="358"/>
      <c r="BA38" s="358"/>
      <c r="BB38" s="358"/>
      <c r="BC38" s="358"/>
      <c r="BD38" s="358"/>
      <c r="BE38" s="358"/>
      <c r="BF38" s="358"/>
      <c r="BG38" s="358"/>
    </row>
    <row r="39" spans="1:59" s="365" customFormat="1">
      <c r="A39" s="360"/>
      <c r="B39" s="361" t="s">
        <v>144</v>
      </c>
      <c r="C39" s="362">
        <v>20000</v>
      </c>
      <c r="D39" s="363">
        <f t="shared" si="0"/>
        <v>4.9613141528928179E-3</v>
      </c>
      <c r="E39" s="364"/>
      <c r="F39" s="360"/>
      <c r="G39" s="361" t="s">
        <v>144</v>
      </c>
      <c r="H39" s="362">
        <v>20000</v>
      </c>
      <c r="I39" s="363">
        <f t="shared" si="19"/>
        <v>4.9613141528928179E-3</v>
      </c>
      <c r="J39" s="364"/>
      <c r="K39" s="360"/>
      <c r="L39" s="361" t="s">
        <v>144</v>
      </c>
      <c r="M39" s="362">
        <v>20000</v>
      </c>
      <c r="N39" s="363">
        <f t="shared" si="20"/>
        <v>4.9613141528928179E-3</v>
      </c>
      <c r="O39" s="364"/>
      <c r="P39" s="360"/>
      <c r="Q39" s="361" t="s">
        <v>144</v>
      </c>
      <c r="R39" s="362">
        <v>20000</v>
      </c>
      <c r="S39" s="363">
        <f t="shared" si="21"/>
        <v>4.9613141528928179E-3</v>
      </c>
      <c r="T39" s="364"/>
      <c r="U39" s="360"/>
      <c r="V39" s="361" t="s">
        <v>144</v>
      </c>
      <c r="W39" s="362">
        <v>20000</v>
      </c>
      <c r="X39" s="363">
        <f t="shared" si="22"/>
        <v>4.9613141528928179E-3</v>
      </c>
      <c r="Y39" s="364"/>
      <c r="Z39" s="360"/>
      <c r="AA39" s="361" t="s">
        <v>144</v>
      </c>
      <c r="AB39" s="362">
        <v>20000</v>
      </c>
      <c r="AC39" s="363">
        <f t="shared" si="23"/>
        <v>4.9613141528928179E-3</v>
      </c>
      <c r="AD39" s="364"/>
      <c r="AE39" s="360"/>
      <c r="AF39" s="361" t="s">
        <v>144</v>
      </c>
      <c r="AG39" s="362">
        <v>20000</v>
      </c>
      <c r="AH39" s="363">
        <f t="shared" si="24"/>
        <v>4.9613141528928179E-3</v>
      </c>
      <c r="AI39" s="364"/>
      <c r="AJ39" s="360"/>
      <c r="AK39" s="361" t="s">
        <v>144</v>
      </c>
      <c r="AL39" s="362">
        <v>20000</v>
      </c>
      <c r="AM39" s="363">
        <f t="shared" si="25"/>
        <v>4.9613141528928179E-3</v>
      </c>
      <c r="AN39" s="364"/>
      <c r="AO39" s="360"/>
      <c r="AP39" s="361" t="s">
        <v>144</v>
      </c>
      <c r="AQ39" s="362">
        <v>20000</v>
      </c>
      <c r="AR39" s="363">
        <f t="shared" si="26"/>
        <v>4.9613141528928179E-3</v>
      </c>
      <c r="AS39" s="364"/>
      <c r="AT39" s="360"/>
      <c r="AU39" s="361" t="s">
        <v>144</v>
      </c>
      <c r="AV39" s="362">
        <v>20000</v>
      </c>
      <c r="AW39" s="363">
        <f t="shared" si="27"/>
        <v>4.9613141528928179E-3</v>
      </c>
      <c r="AX39" s="364"/>
      <c r="AY39" s="364"/>
      <c r="AZ39" s="364"/>
      <c r="BA39" s="364"/>
      <c r="BB39" s="364"/>
      <c r="BC39" s="364"/>
      <c r="BD39" s="364"/>
      <c r="BE39" s="364"/>
      <c r="BF39" s="364"/>
      <c r="BG39" s="364"/>
    </row>
    <row r="40" spans="1:59">
      <c r="A40" s="169"/>
      <c r="B40" s="171" t="s">
        <v>145</v>
      </c>
      <c r="C40" s="185">
        <v>250</v>
      </c>
      <c r="D40" s="182">
        <f t="shared" si="0"/>
        <v>6.2016426911160229E-5</v>
      </c>
      <c r="F40" s="169"/>
      <c r="G40" s="171" t="s">
        <v>145</v>
      </c>
      <c r="H40" s="185">
        <v>250</v>
      </c>
      <c r="I40" s="182">
        <f t="shared" si="19"/>
        <v>6.2016426911160229E-5</v>
      </c>
      <c r="K40" s="169"/>
      <c r="L40" s="171" t="s">
        <v>145</v>
      </c>
      <c r="M40" s="185">
        <v>250</v>
      </c>
      <c r="N40" s="182">
        <f t="shared" si="20"/>
        <v>6.2016426911160229E-5</v>
      </c>
      <c r="P40" s="169"/>
      <c r="Q40" s="171" t="s">
        <v>145</v>
      </c>
      <c r="R40" s="185">
        <v>250</v>
      </c>
      <c r="S40" s="182">
        <f t="shared" si="21"/>
        <v>6.2016426911160229E-5</v>
      </c>
      <c r="U40" s="169"/>
      <c r="V40" s="171" t="s">
        <v>145</v>
      </c>
      <c r="W40" s="185">
        <v>250</v>
      </c>
      <c r="X40" s="182">
        <f t="shared" si="22"/>
        <v>6.2016426911160229E-5</v>
      </c>
      <c r="Z40" s="169"/>
      <c r="AA40" s="171" t="s">
        <v>145</v>
      </c>
      <c r="AB40" s="185">
        <v>250</v>
      </c>
      <c r="AC40" s="182">
        <f t="shared" si="23"/>
        <v>6.2016426911160229E-5</v>
      </c>
      <c r="AE40" s="169"/>
      <c r="AF40" s="171" t="s">
        <v>145</v>
      </c>
      <c r="AG40" s="185">
        <v>250</v>
      </c>
      <c r="AH40" s="182">
        <f t="shared" si="24"/>
        <v>6.2016426911160229E-5</v>
      </c>
      <c r="AJ40" s="169"/>
      <c r="AK40" s="171" t="s">
        <v>145</v>
      </c>
      <c r="AL40" s="185">
        <v>250</v>
      </c>
      <c r="AM40" s="182">
        <f t="shared" si="25"/>
        <v>6.2016426911160229E-5</v>
      </c>
      <c r="AO40" s="169"/>
      <c r="AP40" s="171" t="s">
        <v>145</v>
      </c>
      <c r="AQ40" s="185">
        <v>250</v>
      </c>
      <c r="AR40" s="182">
        <f t="shared" si="26"/>
        <v>6.2016426911160229E-5</v>
      </c>
      <c r="AT40" s="169"/>
      <c r="AU40" s="171" t="s">
        <v>145</v>
      </c>
      <c r="AV40" s="185">
        <v>250</v>
      </c>
      <c r="AW40" s="182">
        <f t="shared" si="27"/>
        <v>6.2016426911160229E-5</v>
      </c>
    </row>
    <row r="41" spans="1:59">
      <c r="A41" s="169"/>
      <c r="B41" s="171" t="s">
        <v>146</v>
      </c>
      <c r="C41" s="185">
        <v>50</v>
      </c>
      <c r="D41" s="182">
        <f t="shared" si="0"/>
        <v>1.2403285382232046E-5</v>
      </c>
      <c r="F41" s="169"/>
      <c r="G41" s="171" t="s">
        <v>146</v>
      </c>
      <c r="H41" s="185">
        <v>50</v>
      </c>
      <c r="I41" s="182">
        <f t="shared" si="19"/>
        <v>1.2403285382232046E-5</v>
      </c>
      <c r="K41" s="169"/>
      <c r="L41" s="171" t="s">
        <v>146</v>
      </c>
      <c r="M41" s="185">
        <v>50</v>
      </c>
      <c r="N41" s="182">
        <f t="shared" si="20"/>
        <v>1.2403285382232046E-5</v>
      </c>
      <c r="P41" s="169"/>
      <c r="Q41" s="171" t="s">
        <v>146</v>
      </c>
      <c r="R41" s="185">
        <v>50</v>
      </c>
      <c r="S41" s="182">
        <f t="shared" si="21"/>
        <v>1.2403285382232046E-5</v>
      </c>
      <c r="U41" s="169"/>
      <c r="V41" s="171" t="s">
        <v>146</v>
      </c>
      <c r="W41" s="185">
        <v>50</v>
      </c>
      <c r="X41" s="182">
        <f t="shared" si="22"/>
        <v>1.2403285382232046E-5</v>
      </c>
      <c r="Z41" s="169"/>
      <c r="AA41" s="171" t="s">
        <v>146</v>
      </c>
      <c r="AB41" s="185">
        <v>50</v>
      </c>
      <c r="AC41" s="182">
        <f t="shared" si="23"/>
        <v>1.2403285382232046E-5</v>
      </c>
      <c r="AE41" s="169"/>
      <c r="AF41" s="171" t="s">
        <v>146</v>
      </c>
      <c r="AG41" s="185">
        <v>50</v>
      </c>
      <c r="AH41" s="182">
        <f t="shared" si="24"/>
        <v>1.2403285382232046E-5</v>
      </c>
      <c r="AJ41" s="169"/>
      <c r="AK41" s="171" t="s">
        <v>146</v>
      </c>
      <c r="AL41" s="185">
        <v>50</v>
      </c>
      <c r="AM41" s="182">
        <f t="shared" si="25"/>
        <v>1.2403285382232046E-5</v>
      </c>
      <c r="AO41" s="169"/>
      <c r="AP41" s="171" t="s">
        <v>146</v>
      </c>
      <c r="AQ41" s="185">
        <v>50</v>
      </c>
      <c r="AR41" s="182">
        <f t="shared" si="26"/>
        <v>1.2403285382232046E-5</v>
      </c>
      <c r="AT41" s="169"/>
      <c r="AU41" s="171" t="s">
        <v>146</v>
      </c>
      <c r="AV41" s="185">
        <v>50</v>
      </c>
      <c r="AW41" s="182">
        <f t="shared" si="27"/>
        <v>1.2403285382232046E-5</v>
      </c>
    </row>
    <row r="42" spans="1:59" s="359" customFormat="1">
      <c r="A42" s="354"/>
      <c r="B42" s="355" t="s">
        <v>147</v>
      </c>
      <c r="C42" s="356">
        <v>3000</v>
      </c>
      <c r="D42" s="357">
        <f t="shared" si="0"/>
        <v>7.4419712293392274E-4</v>
      </c>
      <c r="E42" s="358"/>
      <c r="F42" s="354"/>
      <c r="G42" s="355" t="s">
        <v>147</v>
      </c>
      <c r="H42" s="356">
        <v>3000</v>
      </c>
      <c r="I42" s="357">
        <f t="shared" si="19"/>
        <v>7.4419712293392274E-4</v>
      </c>
      <c r="J42" s="358"/>
      <c r="K42" s="354"/>
      <c r="L42" s="355" t="s">
        <v>147</v>
      </c>
      <c r="M42" s="356">
        <v>3000</v>
      </c>
      <c r="N42" s="357">
        <f t="shared" si="20"/>
        <v>7.4419712293392274E-4</v>
      </c>
      <c r="O42" s="358"/>
      <c r="P42" s="354"/>
      <c r="Q42" s="355" t="s">
        <v>147</v>
      </c>
      <c r="R42" s="356">
        <v>3000</v>
      </c>
      <c r="S42" s="357">
        <f t="shared" si="21"/>
        <v>7.4419712293392274E-4</v>
      </c>
      <c r="T42" s="358"/>
      <c r="U42" s="354"/>
      <c r="V42" s="355" t="s">
        <v>147</v>
      </c>
      <c r="W42" s="356">
        <v>3000</v>
      </c>
      <c r="X42" s="357">
        <f t="shared" si="22"/>
        <v>7.4419712293392274E-4</v>
      </c>
      <c r="Y42" s="358"/>
      <c r="Z42" s="354"/>
      <c r="AA42" s="355" t="s">
        <v>147</v>
      </c>
      <c r="AB42" s="356">
        <v>3000</v>
      </c>
      <c r="AC42" s="357">
        <f t="shared" si="23"/>
        <v>7.4419712293392274E-4</v>
      </c>
      <c r="AD42" s="358"/>
      <c r="AE42" s="354"/>
      <c r="AF42" s="355" t="s">
        <v>147</v>
      </c>
      <c r="AG42" s="356">
        <v>3000</v>
      </c>
      <c r="AH42" s="357">
        <f t="shared" si="24"/>
        <v>7.4419712293392274E-4</v>
      </c>
      <c r="AI42" s="358"/>
      <c r="AJ42" s="354"/>
      <c r="AK42" s="355" t="s">
        <v>147</v>
      </c>
      <c r="AL42" s="356">
        <v>3000</v>
      </c>
      <c r="AM42" s="357">
        <f t="shared" si="25"/>
        <v>7.4419712293392274E-4</v>
      </c>
      <c r="AN42" s="358"/>
      <c r="AO42" s="354"/>
      <c r="AP42" s="355" t="s">
        <v>147</v>
      </c>
      <c r="AQ42" s="356">
        <v>3000</v>
      </c>
      <c r="AR42" s="357">
        <f t="shared" si="26"/>
        <v>7.4419712293392274E-4</v>
      </c>
      <c r="AS42" s="358"/>
      <c r="AT42" s="354"/>
      <c r="AU42" s="355" t="s">
        <v>147</v>
      </c>
      <c r="AV42" s="356">
        <v>3000</v>
      </c>
      <c r="AW42" s="357">
        <f t="shared" si="27"/>
        <v>7.4419712293392274E-4</v>
      </c>
      <c r="AX42" s="358"/>
      <c r="AY42" s="358"/>
      <c r="AZ42" s="358"/>
      <c r="BA42" s="358"/>
      <c r="BB42" s="358"/>
      <c r="BC42" s="358"/>
      <c r="BD42" s="358"/>
      <c r="BE42" s="358"/>
      <c r="BF42" s="358"/>
      <c r="BG42" s="358"/>
    </row>
    <row r="43" spans="1:59" s="359" customFormat="1">
      <c r="A43" s="354"/>
      <c r="B43" s="355" t="s">
        <v>148</v>
      </c>
      <c r="C43" s="356">
        <v>10000</v>
      </c>
      <c r="D43" s="357">
        <f t="shared" si="0"/>
        <v>2.4806570764464089E-3</v>
      </c>
      <c r="E43" s="358"/>
      <c r="F43" s="354"/>
      <c r="G43" s="355" t="s">
        <v>148</v>
      </c>
      <c r="H43" s="356">
        <v>10000</v>
      </c>
      <c r="I43" s="357">
        <f t="shared" si="19"/>
        <v>2.4806570764464089E-3</v>
      </c>
      <c r="J43" s="358"/>
      <c r="K43" s="354"/>
      <c r="L43" s="355" t="s">
        <v>148</v>
      </c>
      <c r="M43" s="356">
        <v>10000</v>
      </c>
      <c r="N43" s="357">
        <f t="shared" si="20"/>
        <v>2.4806570764464089E-3</v>
      </c>
      <c r="O43" s="358"/>
      <c r="P43" s="354"/>
      <c r="Q43" s="355" t="s">
        <v>148</v>
      </c>
      <c r="R43" s="356">
        <v>10000</v>
      </c>
      <c r="S43" s="357">
        <f t="shared" si="21"/>
        <v>2.4806570764464089E-3</v>
      </c>
      <c r="T43" s="358"/>
      <c r="U43" s="354"/>
      <c r="V43" s="355" t="s">
        <v>148</v>
      </c>
      <c r="W43" s="356">
        <v>10000</v>
      </c>
      <c r="X43" s="357">
        <f t="shared" si="22"/>
        <v>2.4806570764464089E-3</v>
      </c>
      <c r="Y43" s="358"/>
      <c r="Z43" s="354"/>
      <c r="AA43" s="355" t="s">
        <v>148</v>
      </c>
      <c r="AB43" s="356">
        <v>10000</v>
      </c>
      <c r="AC43" s="357">
        <f t="shared" si="23"/>
        <v>2.4806570764464089E-3</v>
      </c>
      <c r="AD43" s="358"/>
      <c r="AE43" s="354"/>
      <c r="AF43" s="355" t="s">
        <v>148</v>
      </c>
      <c r="AG43" s="356">
        <v>10000</v>
      </c>
      <c r="AH43" s="357">
        <f t="shared" si="24"/>
        <v>2.4806570764464089E-3</v>
      </c>
      <c r="AI43" s="358"/>
      <c r="AJ43" s="354"/>
      <c r="AK43" s="355" t="s">
        <v>148</v>
      </c>
      <c r="AL43" s="356">
        <v>10000</v>
      </c>
      <c r="AM43" s="357">
        <f t="shared" si="25"/>
        <v>2.4806570764464089E-3</v>
      </c>
      <c r="AN43" s="358"/>
      <c r="AO43" s="354"/>
      <c r="AP43" s="355" t="s">
        <v>148</v>
      </c>
      <c r="AQ43" s="356">
        <v>10000</v>
      </c>
      <c r="AR43" s="357">
        <f t="shared" si="26"/>
        <v>2.4806570764464089E-3</v>
      </c>
      <c r="AS43" s="358"/>
      <c r="AT43" s="354"/>
      <c r="AU43" s="355" t="s">
        <v>148</v>
      </c>
      <c r="AV43" s="356">
        <v>10000</v>
      </c>
      <c r="AW43" s="357">
        <f t="shared" si="27"/>
        <v>2.4806570764464089E-3</v>
      </c>
      <c r="AX43" s="358"/>
      <c r="AY43" s="358"/>
      <c r="AZ43" s="358"/>
      <c r="BA43" s="358"/>
      <c r="BB43" s="358"/>
      <c r="BC43" s="358"/>
      <c r="BD43" s="358"/>
      <c r="BE43" s="358"/>
      <c r="BF43" s="358"/>
      <c r="BG43" s="358"/>
    </row>
    <row r="44" spans="1:59" s="165" customFormat="1">
      <c r="A44" s="176"/>
      <c r="B44" s="176" t="s">
        <v>149</v>
      </c>
      <c r="C44" s="207">
        <f>C11*2.5%</f>
        <v>100779.75</v>
      </c>
      <c r="D44" s="186">
        <f t="shared" si="0"/>
        <v>2.5000000000000001E-2</v>
      </c>
      <c r="E44" s="160"/>
      <c r="F44" s="176"/>
      <c r="G44" s="176" t="s">
        <v>149</v>
      </c>
      <c r="H44" s="207">
        <f>H11*2.5%</f>
        <v>100830.375</v>
      </c>
      <c r="I44" s="186">
        <f t="shared" si="19"/>
        <v>2.501255832644951E-2</v>
      </c>
      <c r="J44" s="160"/>
      <c r="K44" s="176"/>
      <c r="L44" s="176" t="s">
        <v>149</v>
      </c>
      <c r="M44" s="207">
        <f>M11*2.5%</f>
        <v>100837.125</v>
      </c>
      <c r="N44" s="186">
        <f t="shared" si="20"/>
        <v>2.5014232769976111E-2</v>
      </c>
      <c r="O44" s="160"/>
      <c r="P44" s="176"/>
      <c r="Q44" s="176" t="s">
        <v>149</v>
      </c>
      <c r="R44" s="207">
        <f>R11*2.5%</f>
        <v>100746</v>
      </c>
      <c r="S44" s="186">
        <f t="shared" si="21"/>
        <v>2.4991627782366993E-2</v>
      </c>
      <c r="T44" s="160"/>
      <c r="U44" s="176"/>
      <c r="V44" s="176" t="s">
        <v>149</v>
      </c>
      <c r="W44" s="207">
        <f>W11*2.5%</f>
        <v>100658.25</v>
      </c>
      <c r="X44" s="186">
        <f t="shared" si="22"/>
        <v>2.4969860016521177E-2</v>
      </c>
      <c r="Y44" s="160"/>
      <c r="Z44" s="176"/>
      <c r="AA44" s="176" t="s">
        <v>149</v>
      </c>
      <c r="AB44" s="207">
        <f>AB11*2.5%</f>
        <v>100570.5</v>
      </c>
      <c r="AC44" s="186">
        <f t="shared" si="23"/>
        <v>2.4948092250675361E-2</v>
      </c>
      <c r="AD44" s="160"/>
      <c r="AE44" s="176"/>
      <c r="AF44" s="176" t="s">
        <v>149</v>
      </c>
      <c r="AG44" s="207">
        <f>AG11*2.5%</f>
        <v>100479.375</v>
      </c>
      <c r="AH44" s="186">
        <f t="shared" si="24"/>
        <v>2.4925487263066242E-2</v>
      </c>
      <c r="AI44" s="160"/>
      <c r="AJ44" s="176"/>
      <c r="AK44" s="176" t="s">
        <v>149</v>
      </c>
      <c r="AL44" s="207">
        <f>AL11*2.5%</f>
        <v>100125</v>
      </c>
      <c r="AM44" s="186">
        <f t="shared" si="25"/>
        <v>2.4837578977919671E-2</v>
      </c>
      <c r="AN44" s="160"/>
      <c r="AO44" s="176"/>
      <c r="AP44" s="176" t="s">
        <v>149</v>
      </c>
      <c r="AQ44" s="207">
        <f>AQ11*2.5%</f>
        <v>100125</v>
      </c>
      <c r="AR44" s="186">
        <f t="shared" si="26"/>
        <v>2.4837578977919671E-2</v>
      </c>
      <c r="AS44" s="160"/>
      <c r="AT44" s="176"/>
      <c r="AU44" s="176" t="s">
        <v>149</v>
      </c>
      <c r="AV44" s="207" t="e">
        <f>AV11*2.5%</f>
        <v>#REF!</v>
      </c>
      <c r="AW44" s="186" t="e">
        <f t="shared" si="27"/>
        <v>#REF!</v>
      </c>
      <c r="AX44" s="160"/>
      <c r="AY44" s="160"/>
      <c r="AZ44" s="160"/>
      <c r="BA44" s="160"/>
      <c r="BB44" s="160"/>
      <c r="BC44" s="160"/>
      <c r="BD44" s="160"/>
      <c r="BE44" s="160"/>
      <c r="BF44" s="160"/>
      <c r="BG44" s="160"/>
    </row>
    <row r="45" spans="1:59">
      <c r="A45" s="169"/>
      <c r="B45" s="169"/>
      <c r="C45" s="170"/>
      <c r="D45" s="183"/>
      <c r="F45" s="169"/>
      <c r="G45" s="169"/>
      <c r="H45" s="170"/>
      <c r="I45" s="183"/>
      <c r="K45" s="169"/>
      <c r="L45" s="169"/>
      <c r="M45" s="170"/>
      <c r="N45" s="183"/>
      <c r="P45" s="169"/>
      <c r="Q45" s="169"/>
      <c r="R45" s="170"/>
      <c r="S45" s="183"/>
      <c r="U45" s="169"/>
      <c r="V45" s="169"/>
      <c r="W45" s="170"/>
      <c r="X45" s="183"/>
      <c r="Z45" s="169"/>
      <c r="AA45" s="169"/>
      <c r="AB45" s="170"/>
      <c r="AC45" s="183"/>
      <c r="AE45" s="169"/>
      <c r="AF45" s="169"/>
      <c r="AG45" s="170"/>
      <c r="AH45" s="183"/>
      <c r="AJ45" s="169"/>
      <c r="AK45" s="169"/>
      <c r="AL45" s="170"/>
      <c r="AM45" s="183"/>
      <c r="AO45" s="169"/>
      <c r="AP45" s="169"/>
      <c r="AQ45" s="170"/>
      <c r="AR45" s="183"/>
      <c r="AT45" s="169"/>
      <c r="AU45" s="169"/>
      <c r="AV45" s="170"/>
      <c r="AW45" s="183"/>
    </row>
    <row r="46" spans="1:59" ht="13.5" thickBot="1">
      <c r="A46" s="177" t="s">
        <v>91</v>
      </c>
      <c r="B46" s="178"/>
      <c r="C46" s="179">
        <f>SUM(C15:C44)</f>
        <v>509840.353</v>
      </c>
      <c r="D46" s="204">
        <f>C46/C11</f>
        <v>0.12647390795273852</v>
      </c>
      <c r="F46" s="177" t="s">
        <v>91</v>
      </c>
      <c r="G46" s="178"/>
      <c r="H46" s="179">
        <f>SUM(H15:H44)</f>
        <v>510060.4705</v>
      </c>
      <c r="I46" s="204">
        <f>H46/H11</f>
        <v>0.12646498401399381</v>
      </c>
      <c r="K46" s="177" t="s">
        <v>91</v>
      </c>
      <c r="L46" s="178"/>
      <c r="M46" s="179">
        <f>SUM(M15:M44)</f>
        <v>510089.81949999998</v>
      </c>
      <c r="N46" s="204">
        <f>M46/M11</f>
        <v>0.12646379483250836</v>
      </c>
      <c r="P46" s="177" t="s">
        <v>91</v>
      </c>
      <c r="Q46" s="178"/>
      <c r="R46" s="179">
        <f>SUM(R15:R44)</f>
        <v>509693.60800000001</v>
      </c>
      <c r="S46" s="204">
        <f>R46/R11</f>
        <v>0.12647986222778076</v>
      </c>
      <c r="U46" s="177" t="s">
        <v>91</v>
      </c>
      <c r="V46" s="178"/>
      <c r="W46" s="179">
        <f>SUM(W15:W44)</f>
        <v>509312.071</v>
      </c>
      <c r="X46" s="204">
        <f>W46/W11</f>
        <v>0.1264953620294412</v>
      </c>
      <c r="Z46" s="177" t="s">
        <v>91</v>
      </c>
      <c r="AA46" s="178"/>
      <c r="AB46" s="179">
        <f>SUM(AB15:AB44)</f>
        <v>508930.53399999993</v>
      </c>
      <c r="AC46" s="204">
        <f>AB46/AB11</f>
        <v>0.1265108888789456</v>
      </c>
      <c r="AE46" s="177" t="s">
        <v>91</v>
      </c>
      <c r="AF46" s="178"/>
      <c r="AG46" s="179">
        <f>SUM(AG15:AG44)</f>
        <v>508534.32250000001</v>
      </c>
      <c r="AH46" s="204">
        <f>AG46/AG11</f>
        <v>0.12652704161923778</v>
      </c>
      <c r="AJ46" s="177" t="s">
        <v>91</v>
      </c>
      <c r="AK46" s="178"/>
      <c r="AL46" s="179">
        <f>SUM(AL15:AL44)</f>
        <v>506993.5</v>
      </c>
      <c r="AM46" s="204">
        <f>AL46/AL11</f>
        <v>0.12659013732833957</v>
      </c>
      <c r="AO46" s="177" t="s">
        <v>91</v>
      </c>
      <c r="AP46" s="178"/>
      <c r="AQ46" s="179">
        <f>SUM(AQ15:AQ44)</f>
        <v>506993.5</v>
      </c>
      <c r="AR46" s="204">
        <f>AQ46/AQ11</f>
        <v>0.12659013732833957</v>
      </c>
      <c r="AT46" s="177" t="s">
        <v>91</v>
      </c>
      <c r="AU46" s="178"/>
      <c r="AV46" s="179" t="e">
        <f>SUM(AV15:AV44)</f>
        <v>#REF!</v>
      </c>
      <c r="AW46" s="204" t="e">
        <f>AV46/AV11</f>
        <v>#REF!</v>
      </c>
    </row>
    <row r="47" spans="1:59" s="158" customFormat="1" ht="13.5" thickTop="1">
      <c r="A47" s="173"/>
      <c r="B47" s="353" t="s">
        <v>150</v>
      </c>
      <c r="C47" s="352">
        <f>C46/C4</f>
        <v>5.6913258578732334E-2</v>
      </c>
      <c r="D47" s="203"/>
      <c r="F47" s="173"/>
      <c r="G47" s="353" t="s">
        <v>150</v>
      </c>
      <c r="H47" s="352">
        <f>H46/H4</f>
        <v>5.6909242806297208E-2</v>
      </c>
      <c r="I47" s="203"/>
      <c r="K47" s="173"/>
      <c r="L47" s="353" t="s">
        <v>150</v>
      </c>
      <c r="M47" s="352">
        <f>M46/M4</f>
        <v>5.6908707674628765E-2</v>
      </c>
      <c r="N47" s="203"/>
      <c r="P47" s="173"/>
      <c r="Q47" s="353" t="s">
        <v>150</v>
      </c>
      <c r="R47" s="352">
        <f>R46/R4</f>
        <v>5.6915938002501339E-2</v>
      </c>
      <c r="S47" s="203"/>
      <c r="U47" s="173"/>
      <c r="V47" s="353" t="s">
        <v>150</v>
      </c>
      <c r="W47" s="352">
        <f>W46/W4</f>
        <v>5.6922912913248538E-2</v>
      </c>
      <c r="X47" s="203"/>
      <c r="Z47" s="173"/>
      <c r="AA47" s="353" t="s">
        <v>150</v>
      </c>
      <c r="AB47" s="352">
        <f>AB46/AB4</f>
        <v>5.6929899995525515E-2</v>
      </c>
      <c r="AC47" s="203"/>
      <c r="AE47" s="173"/>
      <c r="AF47" s="353" t="s">
        <v>150</v>
      </c>
      <c r="AG47" s="352">
        <f>AG46/AG4</f>
        <v>5.6937168728656999E-2</v>
      </c>
      <c r="AH47" s="203"/>
      <c r="AJ47" s="173"/>
      <c r="AK47" s="353" t="s">
        <v>150</v>
      </c>
      <c r="AL47" s="352">
        <f>AL46/AL4</f>
        <v>5.6965561797752806E-2</v>
      </c>
      <c r="AM47" s="203"/>
      <c r="AO47" s="173"/>
      <c r="AP47" s="353" t="s">
        <v>150</v>
      </c>
      <c r="AQ47" s="352">
        <f>AQ46/AQ4</f>
        <v>5.6965561797752806E-2</v>
      </c>
      <c r="AR47" s="203"/>
      <c r="AT47" s="173"/>
      <c r="AU47" s="353" t="s">
        <v>150</v>
      </c>
      <c r="AV47" s="352" t="e">
        <f>AV46/AV4</f>
        <v>#REF!</v>
      </c>
      <c r="AW47" s="203"/>
    </row>
    <row r="48" spans="1:59" s="202" customFormat="1" ht="13.5" thickBot="1">
      <c r="A48" s="197" t="s">
        <v>151</v>
      </c>
      <c r="B48" s="198"/>
      <c r="C48" s="199">
        <f>C12-C46</f>
        <v>385979.647</v>
      </c>
      <c r="D48" s="200"/>
      <c r="E48" s="201"/>
      <c r="F48" s="197" t="s">
        <v>151</v>
      </c>
      <c r="G48" s="198"/>
      <c r="H48" s="199">
        <f>H12-H46</f>
        <v>386209.5295</v>
      </c>
      <c r="I48" s="200"/>
      <c r="J48" s="201"/>
      <c r="K48" s="197" t="s">
        <v>151</v>
      </c>
      <c r="L48" s="198"/>
      <c r="M48" s="199">
        <f>M12-M46</f>
        <v>386240.18050000002</v>
      </c>
      <c r="N48" s="200"/>
      <c r="O48" s="201"/>
      <c r="P48" s="197" t="s">
        <v>151</v>
      </c>
      <c r="Q48" s="198"/>
      <c r="R48" s="199">
        <f>R12-R46</f>
        <v>385826.39199999999</v>
      </c>
      <c r="S48" s="200"/>
      <c r="T48" s="201"/>
      <c r="U48" s="197" t="s">
        <v>151</v>
      </c>
      <c r="V48" s="198"/>
      <c r="W48" s="199">
        <f>W12-W46</f>
        <v>385427.929</v>
      </c>
      <c r="X48" s="200"/>
      <c r="Y48" s="201"/>
      <c r="Z48" s="197" t="s">
        <v>151</v>
      </c>
      <c r="AA48" s="198"/>
      <c r="AB48" s="199">
        <f>AB12-AB46</f>
        <v>385029.46600000007</v>
      </c>
      <c r="AC48" s="200"/>
      <c r="AD48" s="201"/>
      <c r="AE48" s="197" t="s">
        <v>151</v>
      </c>
      <c r="AF48" s="198"/>
      <c r="AG48" s="199">
        <f>AG12-AG46</f>
        <v>384615.67749999999</v>
      </c>
      <c r="AH48" s="200"/>
      <c r="AI48" s="201"/>
      <c r="AJ48" s="197" t="s">
        <v>151</v>
      </c>
      <c r="AK48" s="198"/>
      <c r="AL48" s="199">
        <f>AL12-AL46</f>
        <v>383006.5</v>
      </c>
      <c r="AM48" s="200"/>
      <c r="AN48" s="201"/>
      <c r="AO48" s="197" t="s">
        <v>151</v>
      </c>
      <c r="AP48" s="198"/>
      <c r="AQ48" s="199">
        <f>AQ12-AQ46</f>
        <v>383006.5</v>
      </c>
      <c r="AR48" s="200"/>
      <c r="AS48" s="201"/>
      <c r="AT48" s="197" t="s">
        <v>151</v>
      </c>
      <c r="AU48" s="198"/>
      <c r="AV48" s="199" t="e">
        <f>AV12-AV46</f>
        <v>#REF!</v>
      </c>
      <c r="AW48" s="200"/>
      <c r="AX48" s="201"/>
      <c r="AY48" s="201"/>
      <c r="AZ48" s="201"/>
      <c r="BA48" s="201"/>
      <c r="BB48" s="201"/>
      <c r="BC48" s="201"/>
      <c r="BD48" s="201"/>
      <c r="BE48" s="201"/>
      <c r="BF48" s="201"/>
      <c r="BG48" s="201"/>
    </row>
    <row r="49" spans="1:6" s="158" customFormat="1"/>
    <row r="50" spans="1:6" s="158" customFormat="1"/>
    <row r="51" spans="1:6" s="158" customFormat="1"/>
    <row r="52" spans="1:6" s="158" customFormat="1">
      <c r="A52" s="160" t="s">
        <v>152</v>
      </c>
      <c r="C52" s="175"/>
      <c r="F52" s="205"/>
    </row>
    <row r="53" spans="1:6" s="158" customFormat="1">
      <c r="A53" s="160"/>
      <c r="C53" s="175"/>
      <c r="F53" s="205"/>
    </row>
    <row r="54" spans="1:6" s="158" customFormat="1">
      <c r="F54" s="205"/>
    </row>
    <row r="55" spans="1:6" s="158" customFormat="1">
      <c r="F55" s="205"/>
    </row>
    <row r="56" spans="1:6" s="158" customFormat="1"/>
    <row r="57" spans="1:6" s="158" customFormat="1"/>
    <row r="58" spans="1:6" s="158" customFormat="1"/>
    <row r="59" spans="1:6" s="158" customFormat="1"/>
    <row r="60" spans="1:6" s="158" customFormat="1"/>
    <row r="61" spans="1:6" s="158" customFormat="1"/>
    <row r="62" spans="1:6" s="158" customFormat="1"/>
    <row r="63" spans="1:6" s="158" customFormat="1"/>
    <row r="64" spans="1:6" s="158" customFormat="1"/>
    <row r="65" s="158" customFormat="1"/>
    <row r="66" s="158" customFormat="1"/>
    <row r="67" s="158" customFormat="1"/>
    <row r="68" s="158" customFormat="1"/>
    <row r="69" s="158" customFormat="1"/>
    <row r="70" s="158" customFormat="1"/>
    <row r="71" s="158" customFormat="1"/>
    <row r="72" s="158" customFormat="1"/>
    <row r="73" s="158" customFormat="1"/>
    <row r="74" s="158" customFormat="1"/>
    <row r="75" s="158" customFormat="1"/>
    <row r="76" s="158" customFormat="1"/>
    <row r="77" s="158" customFormat="1"/>
    <row r="78" s="158" customFormat="1"/>
    <row r="79" s="158" customFormat="1"/>
    <row r="80" s="158" customFormat="1"/>
    <row r="81" s="158" customFormat="1"/>
    <row r="82" s="158" customFormat="1"/>
    <row r="83" s="158" customFormat="1"/>
    <row r="84" s="158" customFormat="1"/>
    <row r="85" s="158" customFormat="1"/>
    <row r="86" s="158" customFormat="1"/>
    <row r="87" s="158" customFormat="1"/>
    <row r="88" s="158" customFormat="1"/>
    <row r="89" s="158" customFormat="1"/>
    <row r="90" s="158" customFormat="1"/>
    <row r="91" s="158" customFormat="1"/>
    <row r="92" s="158" customFormat="1"/>
    <row r="93" s="158" customFormat="1"/>
    <row r="94" s="158" customFormat="1"/>
    <row r="95" s="158" customFormat="1"/>
    <row r="96" s="158" customFormat="1"/>
    <row r="97" s="158" customFormat="1"/>
    <row r="98" s="158" customFormat="1"/>
    <row r="99" s="158" customFormat="1"/>
    <row r="100" s="158" customFormat="1"/>
    <row r="101" s="158" customFormat="1"/>
    <row r="102" s="158" customFormat="1"/>
    <row r="103" s="158" customFormat="1"/>
    <row r="104" s="158" customFormat="1"/>
    <row r="105" s="158" customFormat="1"/>
    <row r="106" s="158" customFormat="1"/>
    <row r="107" s="158" customFormat="1"/>
    <row r="108" s="158" customFormat="1"/>
    <row r="109" s="158" customFormat="1"/>
    <row r="110" s="158" customFormat="1"/>
    <row r="111" s="158" customFormat="1"/>
    <row r="112" s="158" customFormat="1"/>
    <row r="113" s="158" customFormat="1"/>
    <row r="114" s="158" customFormat="1"/>
    <row r="115" s="158" customFormat="1"/>
    <row r="116" s="158" customFormat="1"/>
    <row r="117" s="158" customFormat="1"/>
    <row r="118" s="158" customFormat="1"/>
    <row r="119" s="158" customFormat="1"/>
    <row r="120" s="158" customFormat="1"/>
    <row r="121" s="158" customFormat="1"/>
    <row r="122" s="158" customFormat="1"/>
    <row r="123" s="158" customFormat="1"/>
    <row r="124" s="158" customFormat="1"/>
    <row r="125" s="158" customFormat="1"/>
    <row r="126" s="158" customFormat="1"/>
    <row r="127" s="158" customFormat="1"/>
    <row r="128" s="158" customFormat="1"/>
    <row r="129" s="158" customFormat="1"/>
    <row r="130" s="158" customFormat="1"/>
    <row r="131" s="158" customFormat="1"/>
    <row r="132" s="158" customFormat="1"/>
    <row r="133" s="158" customFormat="1"/>
    <row r="134" s="158" customFormat="1"/>
    <row r="135" s="158" customFormat="1"/>
    <row r="136" s="158" customFormat="1"/>
    <row r="137" s="158" customFormat="1"/>
    <row r="138" s="158" customFormat="1"/>
    <row r="139" s="158" customFormat="1"/>
    <row r="140" s="158" customFormat="1"/>
    <row r="141" s="158" customFormat="1"/>
    <row r="142" s="158" customFormat="1"/>
    <row r="143" s="158" customFormat="1"/>
    <row r="144" s="158" customFormat="1"/>
    <row r="145" s="158" customFormat="1"/>
    <row r="146" s="158" customFormat="1"/>
    <row r="147" s="158" customFormat="1"/>
    <row r="148" s="158" customFormat="1"/>
    <row r="149" s="158" customFormat="1"/>
    <row r="150" s="158" customFormat="1"/>
    <row r="151" s="158" customFormat="1"/>
    <row r="152" s="158" customFormat="1"/>
    <row r="153" s="158" customFormat="1"/>
    <row r="154" s="158" customFormat="1"/>
    <row r="155" s="158" customFormat="1"/>
    <row r="156" s="158" customFormat="1"/>
    <row r="157" s="158" customFormat="1"/>
    <row r="158" s="158" customFormat="1"/>
    <row r="159" s="158" customFormat="1"/>
    <row r="160" s="158" customFormat="1"/>
    <row r="161" s="158" customFormat="1"/>
    <row r="162" s="158" customFormat="1"/>
    <row r="163" s="158" customFormat="1"/>
    <row r="164" s="158" customFormat="1"/>
    <row r="165" s="158" customFormat="1"/>
    <row r="166" s="158" customFormat="1"/>
    <row r="167" s="158" customFormat="1"/>
    <row r="168" s="158" customFormat="1"/>
    <row r="169" s="158" customFormat="1"/>
    <row r="170" s="158" customFormat="1"/>
    <row r="171" s="158" customFormat="1"/>
    <row r="172" s="158" customFormat="1"/>
    <row r="173" s="158" customFormat="1"/>
    <row r="174" s="158" customFormat="1"/>
    <row r="175" s="158" customFormat="1"/>
    <row r="176" s="158" customFormat="1"/>
    <row r="177" s="158" customFormat="1"/>
    <row r="178" s="158" customFormat="1"/>
    <row r="179" s="158" customFormat="1"/>
    <row r="180" s="158" customFormat="1"/>
    <row r="181" s="158" customFormat="1"/>
    <row r="182" s="158" customFormat="1"/>
    <row r="183" s="158" customFormat="1"/>
    <row r="184" s="158" customFormat="1"/>
    <row r="185" s="158" customFormat="1"/>
    <row r="186" s="158" customFormat="1"/>
    <row r="187" s="158" customFormat="1"/>
    <row r="188" s="158" customFormat="1"/>
    <row r="189" s="158" customFormat="1"/>
    <row r="190" s="158" customFormat="1"/>
    <row r="191" s="158" customFormat="1"/>
    <row r="192" s="158" customFormat="1"/>
    <row r="193" s="158" customFormat="1"/>
    <row r="194" s="158" customFormat="1"/>
    <row r="195" s="158" customFormat="1"/>
    <row r="196" s="158" customFormat="1"/>
    <row r="197" s="158" customFormat="1"/>
    <row r="198" s="158" customFormat="1"/>
    <row r="199" s="158" customFormat="1"/>
    <row r="200" s="158" customFormat="1"/>
    <row r="201" s="158" customFormat="1"/>
    <row r="202" s="158" customFormat="1"/>
    <row r="203" s="158" customFormat="1"/>
    <row r="204" s="158" customFormat="1"/>
    <row r="205" s="158" customFormat="1"/>
    <row r="206" s="158" customFormat="1"/>
    <row r="207" s="158" customFormat="1"/>
    <row r="208" s="158" customFormat="1"/>
    <row r="209" s="158" customFormat="1"/>
    <row r="210" s="158" customFormat="1"/>
    <row r="211" s="158" customFormat="1"/>
    <row r="212" s="158" customFormat="1"/>
    <row r="213" s="158" customFormat="1"/>
    <row r="214" s="158" customFormat="1"/>
    <row r="215" s="158" customFormat="1"/>
    <row r="216" s="158" customFormat="1"/>
    <row r="217" s="158" customFormat="1"/>
    <row r="218" s="158" customFormat="1"/>
    <row r="219" s="158" customFormat="1"/>
    <row r="220" s="158" customFormat="1"/>
    <row r="221" s="158" customFormat="1"/>
    <row r="222" s="158" customFormat="1"/>
    <row r="223" s="158" customFormat="1"/>
    <row r="224" s="158" customFormat="1"/>
    <row r="225" s="158" customFormat="1"/>
    <row r="226" s="158" customFormat="1"/>
    <row r="227" s="158" customFormat="1"/>
    <row r="228" s="158" customFormat="1"/>
    <row r="229" s="158" customFormat="1"/>
    <row r="230" s="158" customFormat="1"/>
    <row r="231" s="158" customFormat="1"/>
    <row r="232" s="158" customFormat="1"/>
    <row r="233" s="158" customFormat="1"/>
    <row r="234" s="158" customFormat="1"/>
    <row r="235" s="158" customFormat="1"/>
    <row r="236" s="158" customFormat="1"/>
    <row r="237" s="158" customFormat="1"/>
    <row r="238" s="158" customFormat="1"/>
    <row r="239" s="158" customFormat="1"/>
    <row r="240" s="158" customFormat="1"/>
    <row r="241" s="158" customFormat="1"/>
    <row r="242" s="158" customFormat="1"/>
    <row r="243" s="158" customFormat="1"/>
    <row r="244" s="158" customFormat="1"/>
    <row r="245" s="158" customFormat="1"/>
    <row r="246" s="158" customFormat="1"/>
    <row r="247" s="158" customFormat="1"/>
    <row r="248" s="158" customFormat="1"/>
    <row r="249" s="158" customFormat="1"/>
    <row r="250" s="158" customFormat="1"/>
    <row r="251" s="158" customFormat="1"/>
    <row r="252" s="158" customFormat="1"/>
    <row r="253" s="158" customFormat="1"/>
    <row r="254" s="158" customFormat="1"/>
    <row r="255" s="158" customFormat="1"/>
    <row r="256" s="158" customFormat="1"/>
    <row r="257" s="158" customFormat="1"/>
    <row r="258" s="158" customFormat="1"/>
    <row r="259" s="158" customFormat="1"/>
    <row r="260" s="158" customFormat="1"/>
    <row r="261" s="158" customFormat="1"/>
    <row r="262" s="158" customFormat="1"/>
    <row r="263" s="158" customFormat="1"/>
    <row r="264" s="158" customFormat="1"/>
    <row r="265" s="158" customFormat="1"/>
    <row r="266" s="158" customFormat="1"/>
    <row r="267" s="158" customFormat="1"/>
    <row r="268" s="158" customFormat="1"/>
    <row r="269" s="158" customFormat="1"/>
    <row r="270" s="158" customFormat="1"/>
    <row r="271" s="158" customFormat="1"/>
    <row r="272" s="158" customFormat="1"/>
    <row r="273" s="158" customFormat="1"/>
    <row r="274" s="158" customFormat="1"/>
    <row r="275" s="158" customFormat="1"/>
    <row r="276" s="158" customFormat="1"/>
    <row r="277" s="158" customFormat="1"/>
    <row r="278" s="158" customFormat="1"/>
    <row r="279" s="158" customFormat="1"/>
    <row r="280" s="158" customFormat="1"/>
    <row r="281" s="158" customFormat="1"/>
    <row r="282" s="158" customFormat="1"/>
    <row r="283" s="158" customFormat="1"/>
    <row r="284" s="158" customFormat="1"/>
    <row r="285" s="158" customFormat="1"/>
    <row r="286" s="158" customFormat="1"/>
    <row r="287" s="158" customFormat="1"/>
    <row r="288" s="158" customFormat="1"/>
    <row r="289" s="158" customFormat="1"/>
    <row r="290" s="158" customFormat="1"/>
    <row r="291" s="158" customFormat="1"/>
    <row r="292" s="158" customFormat="1"/>
    <row r="293" s="158" customFormat="1"/>
    <row r="294" s="158" customFormat="1"/>
    <row r="295" s="158" customFormat="1"/>
    <row r="296" s="158" customFormat="1"/>
    <row r="297" s="158" customFormat="1"/>
    <row r="298" s="158" customFormat="1"/>
    <row r="299" s="158" customFormat="1"/>
    <row r="300" s="158" customFormat="1"/>
    <row r="301" s="158" customFormat="1"/>
    <row r="302" s="158" customFormat="1"/>
    <row r="303" s="158" customFormat="1"/>
    <row r="304" s="158" customFormat="1"/>
    <row r="305" s="158" customFormat="1"/>
    <row r="306" s="158" customFormat="1"/>
    <row r="307" s="158" customFormat="1"/>
    <row r="308" s="158" customFormat="1"/>
    <row r="309" s="158" customFormat="1"/>
    <row r="310" s="158" customFormat="1"/>
    <row r="311" s="158" customFormat="1"/>
    <row r="312" s="158" customFormat="1"/>
    <row r="313" s="158" customFormat="1"/>
    <row r="314" s="158" customFormat="1"/>
    <row r="315" s="158" customFormat="1"/>
    <row r="316" s="158" customFormat="1"/>
    <row r="317" s="158" customFormat="1"/>
    <row r="318" s="158" customFormat="1"/>
    <row r="319" s="158" customFormat="1"/>
    <row r="320" s="158" customFormat="1"/>
    <row r="321" s="158" customFormat="1"/>
    <row r="322" s="158" customFormat="1"/>
    <row r="323" s="158" customFormat="1"/>
    <row r="324" s="158" customFormat="1"/>
    <row r="325" s="158" customFormat="1"/>
    <row r="326" s="158" customFormat="1"/>
    <row r="327" s="158" customFormat="1"/>
    <row r="328" s="158" customFormat="1"/>
    <row r="329" s="158" customFormat="1"/>
    <row r="330" s="158" customFormat="1"/>
    <row r="331" s="158" customFormat="1"/>
    <row r="332" s="158" customFormat="1"/>
    <row r="333" s="158" customFormat="1"/>
    <row r="334" s="158" customFormat="1"/>
    <row r="335" s="158" customFormat="1"/>
    <row r="336" s="158" customFormat="1"/>
    <row r="337" s="158" customFormat="1"/>
    <row r="338" s="158" customFormat="1"/>
    <row r="339" s="158" customFormat="1"/>
    <row r="340" s="158" customFormat="1"/>
    <row r="341" s="158" customFormat="1"/>
    <row r="342" s="158" customFormat="1"/>
    <row r="343" s="158" customFormat="1"/>
    <row r="344" s="158" customFormat="1"/>
    <row r="345" s="158" customFormat="1"/>
    <row r="346" s="158" customFormat="1"/>
    <row r="347" s="158" customFormat="1"/>
    <row r="348" s="158" customFormat="1"/>
    <row r="349" s="158" customFormat="1"/>
    <row r="350" s="158" customFormat="1"/>
    <row r="351" s="158" customFormat="1"/>
    <row r="352" s="158" customFormat="1"/>
    <row r="353" s="158" customFormat="1"/>
    <row r="354" s="158" customFormat="1"/>
    <row r="355" s="158" customFormat="1"/>
    <row r="356" s="158" customFormat="1"/>
    <row r="357" s="158" customFormat="1"/>
    <row r="358" s="158" customFormat="1"/>
    <row r="359" s="158" customFormat="1"/>
    <row r="360" s="158" customFormat="1"/>
    <row r="361" s="158" customFormat="1"/>
    <row r="362" s="158" customFormat="1"/>
    <row r="363" s="158" customFormat="1"/>
    <row r="364" s="158" customFormat="1"/>
    <row r="365" s="158" customFormat="1"/>
    <row r="366" s="158" customFormat="1"/>
    <row r="367" s="158" customFormat="1"/>
    <row r="368" s="158" customFormat="1"/>
    <row r="369" s="158" customFormat="1"/>
    <row r="370" s="158" customFormat="1"/>
    <row r="371" s="158" customFormat="1"/>
    <row r="372" s="158" customFormat="1"/>
    <row r="373" s="158" customFormat="1"/>
    <row r="374" s="158" customFormat="1"/>
    <row r="375" s="158" customFormat="1"/>
    <row r="376" s="158" customFormat="1"/>
    <row r="377" s="158" customFormat="1"/>
    <row r="378" s="158" customFormat="1"/>
    <row r="379" s="158" customFormat="1"/>
    <row r="380" s="158" customFormat="1"/>
    <row r="381" s="158" customFormat="1"/>
    <row r="382" s="158" customFormat="1"/>
    <row r="383" s="158" customFormat="1"/>
    <row r="384" s="158" customFormat="1"/>
    <row r="385" s="158" customFormat="1"/>
    <row r="386" s="158" customFormat="1"/>
    <row r="387" s="158" customFormat="1"/>
    <row r="388" s="158" customFormat="1"/>
    <row r="389" s="158" customFormat="1"/>
    <row r="390" s="158" customFormat="1"/>
    <row r="391" s="158" customFormat="1"/>
    <row r="392" s="158" customFormat="1"/>
    <row r="393" s="158" customFormat="1"/>
    <row r="394" s="158" customFormat="1"/>
    <row r="395" s="158" customFormat="1"/>
    <row r="396" s="158" customFormat="1"/>
    <row r="397" s="158" customFormat="1"/>
    <row r="398" s="158" customFormat="1"/>
    <row r="399" s="158" customFormat="1"/>
    <row r="400" s="158" customFormat="1"/>
    <row r="401" s="158" customFormat="1"/>
    <row r="402" s="158" customFormat="1"/>
    <row r="403" s="158" customFormat="1"/>
    <row r="404" s="158" customFormat="1"/>
    <row r="405" s="158" customFormat="1"/>
    <row r="406" s="158" customFormat="1"/>
    <row r="407" s="158" customFormat="1"/>
    <row r="408" s="158" customFormat="1"/>
    <row r="409" s="158" customFormat="1"/>
    <row r="410" s="158" customFormat="1"/>
    <row r="411" s="158" customFormat="1"/>
    <row r="412" s="158" customFormat="1"/>
    <row r="413" s="158" customFormat="1"/>
    <row r="414" s="158" customFormat="1"/>
    <row r="415" s="158" customFormat="1"/>
    <row r="416" s="158" customFormat="1"/>
    <row r="417" s="158" customFormat="1"/>
    <row r="418" s="158" customFormat="1"/>
    <row r="419" s="158" customFormat="1"/>
    <row r="420" s="158" customFormat="1"/>
    <row r="421" s="158" customFormat="1"/>
    <row r="422" s="158" customFormat="1"/>
    <row r="423" s="158" customFormat="1"/>
    <row r="424" s="158" customFormat="1"/>
  </sheetData>
  <sheetProtection sheet="1" objects="1" scenarios="1"/>
  <mergeCells count="20">
    <mergeCell ref="Z7:AA7"/>
    <mergeCell ref="A6:D6"/>
    <mergeCell ref="F6:I6"/>
    <mergeCell ref="K6:N6"/>
    <mergeCell ref="P6:S6"/>
    <mergeCell ref="U6:X6"/>
    <mergeCell ref="Z6:AC6"/>
    <mergeCell ref="A7:B7"/>
    <mergeCell ref="F7:G7"/>
    <mergeCell ref="K7:L7"/>
    <mergeCell ref="P7:Q7"/>
    <mergeCell ref="U7:V7"/>
    <mergeCell ref="AE7:AF7"/>
    <mergeCell ref="AJ7:AK7"/>
    <mergeCell ref="AO7:AP7"/>
    <mergeCell ref="AT7:AU7"/>
    <mergeCell ref="AE6:AH6"/>
    <mergeCell ref="AJ6:AM6"/>
    <mergeCell ref="AO6:AR6"/>
    <mergeCell ref="AT6:AW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C67A2-0B6F-4467-B447-EAECFDEA8838}">
  <sheetPr codeName="Sheet3">
    <tabColor rgb="FFFF0000"/>
  </sheetPr>
  <dimension ref="A1:BG428"/>
  <sheetViews>
    <sheetView topLeftCell="BJ1" zoomScale="80" zoomScaleNormal="80" workbookViewId="0">
      <selection sqref="A1:BI1048576"/>
    </sheetView>
  </sheetViews>
  <sheetFormatPr defaultColWidth="9.28515625" defaultRowHeight="12.75"/>
  <cols>
    <col min="1" max="1" width="11.7109375" style="168" hidden="1" customWidth="1"/>
    <col min="2" max="2" width="68.7109375" style="168" hidden="1" customWidth="1"/>
    <col min="3" max="3" width="16.7109375" style="168" hidden="1" customWidth="1"/>
    <col min="4" max="4" width="10" style="412" hidden="1" customWidth="1"/>
    <col min="5" max="5" width="4.7109375" style="158" hidden="1" customWidth="1"/>
    <col min="6" max="6" width="10.42578125" style="168" hidden="1" customWidth="1"/>
    <col min="7" max="7" width="75.7109375" style="168" hidden="1" customWidth="1"/>
    <col min="8" max="8" width="18.5703125" style="168" hidden="1" customWidth="1"/>
    <col min="9" max="9" width="9.7109375" style="412" hidden="1" customWidth="1"/>
    <col min="10" max="10" width="5.42578125" style="158" hidden="1" customWidth="1"/>
    <col min="11" max="11" width="9" style="168" hidden="1" customWidth="1"/>
    <col min="12" max="12" width="66.7109375" style="168" hidden="1" customWidth="1"/>
    <col min="13" max="13" width="16.7109375" style="168" hidden="1" customWidth="1"/>
    <col min="14" max="14" width="9.28515625" style="412" hidden="1" customWidth="1"/>
    <col min="15" max="15" width="9.28515625" style="158" hidden="1" customWidth="1"/>
    <col min="16" max="16" width="17.140625" style="158" hidden="1" customWidth="1"/>
    <col min="17" max="17" width="67.140625" style="158" hidden="1" customWidth="1"/>
    <col min="18" max="18" width="14.7109375" style="158" hidden="1" customWidth="1"/>
    <col min="19" max="19" width="7.5703125" style="398" hidden="1" customWidth="1"/>
    <col min="20" max="20" width="0" style="158" hidden="1" customWidth="1"/>
    <col min="21" max="21" width="17.140625" style="158" hidden="1" customWidth="1"/>
    <col min="22" max="22" width="69.28515625" style="158" hidden="1" customWidth="1"/>
    <col min="23" max="23" width="14.5703125" style="158" hidden="1" customWidth="1"/>
    <col min="24" max="24" width="7.5703125" style="158" hidden="1" customWidth="1"/>
    <col min="25" max="25" width="0" style="158" hidden="1" customWidth="1"/>
    <col min="26" max="26" width="17.140625" style="158" hidden="1" customWidth="1"/>
    <col min="27" max="27" width="68.85546875" style="158" hidden="1" customWidth="1"/>
    <col min="28" max="28" width="14.7109375" style="158" hidden="1" customWidth="1"/>
    <col min="29" max="29" width="7.5703125" style="158" hidden="1" customWidth="1"/>
    <col min="30" max="30" width="0" style="158" hidden="1" customWidth="1"/>
    <col min="31" max="31" width="17.140625" style="158" hidden="1" customWidth="1"/>
    <col min="32" max="32" width="68" style="158" hidden="1" customWidth="1"/>
    <col min="33" max="33" width="14.42578125" style="158" hidden="1" customWidth="1"/>
    <col min="34" max="34" width="7.5703125" style="398" hidden="1" customWidth="1"/>
    <col min="35" max="35" width="0" style="158" hidden="1" customWidth="1"/>
    <col min="36" max="36" width="17.140625" style="158" hidden="1" customWidth="1"/>
    <col min="37" max="37" width="67.5703125" style="158" hidden="1" customWidth="1"/>
    <col min="38" max="38" width="14.140625" style="158" hidden="1" customWidth="1"/>
    <col min="39" max="39" width="9.28515625" style="398" hidden="1" customWidth="1"/>
    <col min="40" max="40" width="0" style="158" hidden="1" customWidth="1"/>
    <col min="41" max="41" width="17.140625" style="158" hidden="1" customWidth="1"/>
    <col min="42" max="42" width="67.28515625" style="158" hidden="1" customWidth="1"/>
    <col min="43" max="43" width="14.140625" style="158" hidden="1" customWidth="1"/>
    <col min="44" max="44" width="8.28515625" style="398" hidden="1" customWidth="1"/>
    <col min="45" max="45" width="0" style="158" hidden="1" customWidth="1"/>
    <col min="46" max="46" width="17.140625" style="158" hidden="1" customWidth="1"/>
    <col min="47" max="47" width="69" style="158" hidden="1" customWidth="1"/>
    <col min="48" max="48" width="15.5703125" style="158" hidden="1" customWidth="1"/>
    <col min="49" max="49" width="9.5703125" style="398" hidden="1" customWidth="1"/>
    <col min="50" max="59" width="0" style="158" hidden="1" customWidth="1"/>
    <col min="60" max="61" width="0" style="168" hidden="1" customWidth="1"/>
    <col min="62" max="249" width="9.28515625" style="168"/>
    <col min="250" max="250" width="7.7109375" style="168" customWidth="1"/>
    <col min="251" max="251" width="59.42578125" style="168" customWidth="1"/>
    <col min="252" max="252" width="14.5703125" style="168" bestFit="1" customWidth="1"/>
    <col min="253" max="253" width="9.140625" style="168" customWidth="1"/>
    <col min="254" max="256" width="0" style="168" hidden="1" customWidth="1"/>
    <col min="257" max="257" width="6.7109375" style="168" customWidth="1"/>
    <col min="258" max="258" width="7.28515625" style="168" customWidth="1"/>
    <col min="259" max="259" width="75.7109375" style="168" customWidth="1"/>
    <col min="260" max="260" width="18.5703125" style="168" customWidth="1"/>
    <col min="261" max="261" width="9.7109375" style="168" customWidth="1"/>
    <col min="262" max="262" width="3.28515625" style="168" customWidth="1"/>
    <col min="263" max="263" width="6.42578125" style="168" customWidth="1"/>
    <col min="264" max="264" width="66.7109375" style="168" customWidth="1"/>
    <col min="265" max="265" width="16.7109375" style="168" customWidth="1"/>
    <col min="266" max="267" width="9.28515625" style="168"/>
    <col min="268" max="268" width="15.5703125" style="168" bestFit="1" customWidth="1"/>
    <col min="269" max="269" width="66.42578125" style="168" bestFit="1" customWidth="1"/>
    <col min="270" max="270" width="13.28515625" style="168" bestFit="1" customWidth="1"/>
    <col min="271" max="271" width="11.42578125" style="168" customWidth="1"/>
    <col min="272" max="505" width="9.28515625" style="168"/>
    <col min="506" max="506" width="7.7109375" style="168" customWidth="1"/>
    <col min="507" max="507" width="59.42578125" style="168" customWidth="1"/>
    <col min="508" max="508" width="14.5703125" style="168" bestFit="1" customWidth="1"/>
    <col min="509" max="509" width="9.140625" style="168" customWidth="1"/>
    <col min="510" max="512" width="0" style="168" hidden="1" customWidth="1"/>
    <col min="513" max="513" width="6.7109375" style="168" customWidth="1"/>
    <col min="514" max="514" width="7.28515625" style="168" customWidth="1"/>
    <col min="515" max="515" width="75.7109375" style="168" customWidth="1"/>
    <col min="516" max="516" width="18.5703125" style="168" customWidth="1"/>
    <col min="517" max="517" width="9.7109375" style="168" customWidth="1"/>
    <col min="518" max="518" width="3.28515625" style="168" customWidth="1"/>
    <col min="519" max="519" width="6.42578125" style="168" customWidth="1"/>
    <col min="520" max="520" width="66.7109375" style="168" customWidth="1"/>
    <col min="521" max="521" width="16.7109375" style="168" customWidth="1"/>
    <col min="522" max="523" width="9.28515625" style="168"/>
    <col min="524" max="524" width="15.5703125" style="168" bestFit="1" customWidth="1"/>
    <col min="525" max="525" width="66.42578125" style="168" bestFit="1" customWidth="1"/>
    <col min="526" max="526" width="13.28515625" style="168" bestFit="1" customWidth="1"/>
    <col min="527" max="527" width="11.42578125" style="168" customWidth="1"/>
    <col min="528" max="761" width="9.28515625" style="168"/>
    <col min="762" max="762" width="7.7109375" style="168" customWidth="1"/>
    <col min="763" max="763" width="59.42578125" style="168" customWidth="1"/>
    <col min="764" max="764" width="14.5703125" style="168" bestFit="1" customWidth="1"/>
    <col min="765" max="765" width="9.140625" style="168" customWidth="1"/>
    <col min="766" max="768" width="0" style="168" hidden="1" customWidth="1"/>
    <col min="769" max="769" width="6.7109375" style="168" customWidth="1"/>
    <col min="770" max="770" width="7.28515625" style="168" customWidth="1"/>
    <col min="771" max="771" width="75.7109375" style="168" customWidth="1"/>
    <col min="772" max="772" width="18.5703125" style="168" customWidth="1"/>
    <col min="773" max="773" width="9.7109375" style="168" customWidth="1"/>
    <col min="774" max="774" width="3.28515625" style="168" customWidth="1"/>
    <col min="775" max="775" width="6.42578125" style="168" customWidth="1"/>
    <col min="776" max="776" width="66.7109375" style="168" customWidth="1"/>
    <col min="777" max="777" width="16.7109375" style="168" customWidth="1"/>
    <col min="778" max="779" width="9.28515625" style="168"/>
    <col min="780" max="780" width="15.5703125" style="168" bestFit="1" customWidth="1"/>
    <col min="781" max="781" width="66.42578125" style="168" bestFit="1" customWidth="1"/>
    <col min="782" max="782" width="13.28515625" style="168" bestFit="1" customWidth="1"/>
    <col min="783" max="783" width="11.42578125" style="168" customWidth="1"/>
    <col min="784" max="1017" width="9.28515625" style="168"/>
    <col min="1018" max="1018" width="7.7109375" style="168" customWidth="1"/>
    <col min="1019" max="1019" width="59.42578125" style="168" customWidth="1"/>
    <col min="1020" max="1020" width="14.5703125" style="168" bestFit="1" customWidth="1"/>
    <col min="1021" max="1021" width="9.140625" style="168" customWidth="1"/>
    <col min="1022" max="1024" width="0" style="168" hidden="1" customWidth="1"/>
    <col min="1025" max="1025" width="6.7109375" style="168" customWidth="1"/>
    <col min="1026" max="1026" width="7.28515625" style="168" customWidth="1"/>
    <col min="1027" max="1027" width="75.7109375" style="168" customWidth="1"/>
    <col min="1028" max="1028" width="18.5703125" style="168" customWidth="1"/>
    <col min="1029" max="1029" width="9.7109375" style="168" customWidth="1"/>
    <col min="1030" max="1030" width="3.28515625" style="168" customWidth="1"/>
    <col min="1031" max="1031" width="6.42578125" style="168" customWidth="1"/>
    <col min="1032" max="1032" width="66.7109375" style="168" customWidth="1"/>
    <col min="1033" max="1033" width="16.7109375" style="168" customWidth="1"/>
    <col min="1034" max="1035" width="9.28515625" style="168"/>
    <col min="1036" max="1036" width="15.5703125" style="168" bestFit="1" customWidth="1"/>
    <col min="1037" max="1037" width="66.42578125" style="168" bestFit="1" customWidth="1"/>
    <col min="1038" max="1038" width="13.28515625" style="168" bestFit="1" customWidth="1"/>
    <col min="1039" max="1039" width="11.42578125" style="168" customWidth="1"/>
    <col min="1040" max="1273" width="9.28515625" style="168"/>
    <col min="1274" max="1274" width="7.7109375" style="168" customWidth="1"/>
    <col min="1275" max="1275" width="59.42578125" style="168" customWidth="1"/>
    <col min="1276" max="1276" width="14.5703125" style="168" bestFit="1" customWidth="1"/>
    <col min="1277" max="1277" width="9.140625" style="168" customWidth="1"/>
    <col min="1278" max="1280" width="0" style="168" hidden="1" customWidth="1"/>
    <col min="1281" max="1281" width="6.7109375" style="168" customWidth="1"/>
    <col min="1282" max="1282" width="7.28515625" style="168" customWidth="1"/>
    <col min="1283" max="1283" width="75.7109375" style="168" customWidth="1"/>
    <col min="1284" max="1284" width="18.5703125" style="168" customWidth="1"/>
    <col min="1285" max="1285" width="9.7109375" style="168" customWidth="1"/>
    <col min="1286" max="1286" width="3.28515625" style="168" customWidth="1"/>
    <col min="1287" max="1287" width="6.42578125" style="168" customWidth="1"/>
    <col min="1288" max="1288" width="66.7109375" style="168" customWidth="1"/>
    <col min="1289" max="1289" width="16.7109375" style="168" customWidth="1"/>
    <col min="1290" max="1291" width="9.28515625" style="168"/>
    <col min="1292" max="1292" width="15.5703125" style="168" bestFit="1" customWidth="1"/>
    <col min="1293" max="1293" width="66.42578125" style="168" bestFit="1" customWidth="1"/>
    <col min="1294" max="1294" width="13.28515625" style="168" bestFit="1" customWidth="1"/>
    <col min="1295" max="1295" width="11.42578125" style="168" customWidth="1"/>
    <col min="1296" max="1529" width="9.28515625" style="168"/>
    <col min="1530" max="1530" width="7.7109375" style="168" customWidth="1"/>
    <col min="1531" max="1531" width="59.42578125" style="168" customWidth="1"/>
    <col min="1532" max="1532" width="14.5703125" style="168" bestFit="1" customWidth="1"/>
    <col min="1533" max="1533" width="9.140625" style="168" customWidth="1"/>
    <col min="1534" max="1536" width="0" style="168" hidden="1" customWidth="1"/>
    <col min="1537" max="1537" width="6.7109375" style="168" customWidth="1"/>
    <col min="1538" max="1538" width="7.28515625" style="168" customWidth="1"/>
    <col min="1539" max="1539" width="75.7109375" style="168" customWidth="1"/>
    <col min="1540" max="1540" width="18.5703125" style="168" customWidth="1"/>
    <col min="1541" max="1541" width="9.7109375" style="168" customWidth="1"/>
    <col min="1542" max="1542" width="3.28515625" style="168" customWidth="1"/>
    <col min="1543" max="1543" width="6.42578125" style="168" customWidth="1"/>
    <col min="1544" max="1544" width="66.7109375" style="168" customWidth="1"/>
    <col min="1545" max="1545" width="16.7109375" style="168" customWidth="1"/>
    <col min="1546" max="1547" width="9.28515625" style="168"/>
    <col min="1548" max="1548" width="15.5703125" style="168" bestFit="1" customWidth="1"/>
    <col min="1549" max="1549" width="66.42578125" style="168" bestFit="1" customWidth="1"/>
    <col min="1550" max="1550" width="13.28515625" style="168" bestFit="1" customWidth="1"/>
    <col min="1551" max="1551" width="11.42578125" style="168" customWidth="1"/>
    <col min="1552" max="1785" width="9.28515625" style="168"/>
    <col min="1786" max="1786" width="7.7109375" style="168" customWidth="1"/>
    <col min="1787" max="1787" width="59.42578125" style="168" customWidth="1"/>
    <col min="1788" max="1788" width="14.5703125" style="168" bestFit="1" customWidth="1"/>
    <col min="1789" max="1789" width="9.140625" style="168" customWidth="1"/>
    <col min="1790" max="1792" width="0" style="168" hidden="1" customWidth="1"/>
    <col min="1793" max="1793" width="6.7109375" style="168" customWidth="1"/>
    <col min="1794" max="1794" width="7.28515625" style="168" customWidth="1"/>
    <col min="1795" max="1795" width="75.7109375" style="168" customWidth="1"/>
    <col min="1796" max="1796" width="18.5703125" style="168" customWidth="1"/>
    <col min="1797" max="1797" width="9.7109375" style="168" customWidth="1"/>
    <col min="1798" max="1798" width="3.28515625" style="168" customWidth="1"/>
    <col min="1799" max="1799" width="6.42578125" style="168" customWidth="1"/>
    <col min="1800" max="1800" width="66.7109375" style="168" customWidth="1"/>
    <col min="1801" max="1801" width="16.7109375" style="168" customWidth="1"/>
    <col min="1802" max="1803" width="9.28515625" style="168"/>
    <col min="1804" max="1804" width="15.5703125" style="168" bestFit="1" customWidth="1"/>
    <col min="1805" max="1805" width="66.42578125" style="168" bestFit="1" customWidth="1"/>
    <col min="1806" max="1806" width="13.28515625" style="168" bestFit="1" customWidth="1"/>
    <col min="1807" max="1807" width="11.42578125" style="168" customWidth="1"/>
    <col min="1808" max="2041" width="9.28515625" style="168"/>
    <col min="2042" max="2042" width="7.7109375" style="168" customWidth="1"/>
    <col min="2043" max="2043" width="59.42578125" style="168" customWidth="1"/>
    <col min="2044" max="2044" width="14.5703125" style="168" bestFit="1" customWidth="1"/>
    <col min="2045" max="2045" width="9.140625" style="168" customWidth="1"/>
    <col min="2046" max="2048" width="0" style="168" hidden="1" customWidth="1"/>
    <col min="2049" max="2049" width="6.7109375" style="168" customWidth="1"/>
    <col min="2050" max="2050" width="7.28515625" style="168" customWidth="1"/>
    <col min="2051" max="2051" width="75.7109375" style="168" customWidth="1"/>
    <col min="2052" max="2052" width="18.5703125" style="168" customWidth="1"/>
    <col min="2053" max="2053" width="9.7109375" style="168" customWidth="1"/>
    <col min="2054" max="2054" width="3.28515625" style="168" customWidth="1"/>
    <col min="2055" max="2055" width="6.42578125" style="168" customWidth="1"/>
    <col min="2056" max="2056" width="66.7109375" style="168" customWidth="1"/>
    <col min="2057" max="2057" width="16.7109375" style="168" customWidth="1"/>
    <col min="2058" max="2059" width="9.28515625" style="168"/>
    <col min="2060" max="2060" width="15.5703125" style="168" bestFit="1" customWidth="1"/>
    <col min="2061" max="2061" width="66.42578125" style="168" bestFit="1" customWidth="1"/>
    <col min="2062" max="2062" width="13.28515625" style="168" bestFit="1" customWidth="1"/>
    <col min="2063" max="2063" width="11.42578125" style="168" customWidth="1"/>
    <col min="2064" max="2297" width="9.28515625" style="168"/>
    <col min="2298" max="2298" width="7.7109375" style="168" customWidth="1"/>
    <col min="2299" max="2299" width="59.42578125" style="168" customWidth="1"/>
    <col min="2300" max="2300" width="14.5703125" style="168" bestFit="1" customWidth="1"/>
    <col min="2301" max="2301" width="9.140625" style="168" customWidth="1"/>
    <col min="2302" max="2304" width="0" style="168" hidden="1" customWidth="1"/>
    <col min="2305" max="2305" width="6.7109375" style="168" customWidth="1"/>
    <col min="2306" max="2306" width="7.28515625" style="168" customWidth="1"/>
    <col min="2307" max="2307" width="75.7109375" style="168" customWidth="1"/>
    <col min="2308" max="2308" width="18.5703125" style="168" customWidth="1"/>
    <col min="2309" max="2309" width="9.7109375" style="168" customWidth="1"/>
    <col min="2310" max="2310" width="3.28515625" style="168" customWidth="1"/>
    <col min="2311" max="2311" width="6.42578125" style="168" customWidth="1"/>
    <col min="2312" max="2312" width="66.7109375" style="168" customWidth="1"/>
    <col min="2313" max="2313" width="16.7109375" style="168" customWidth="1"/>
    <col min="2314" max="2315" width="9.28515625" style="168"/>
    <col min="2316" max="2316" width="15.5703125" style="168" bestFit="1" customWidth="1"/>
    <col min="2317" max="2317" width="66.42578125" style="168" bestFit="1" customWidth="1"/>
    <col min="2318" max="2318" width="13.28515625" style="168" bestFit="1" customWidth="1"/>
    <col min="2319" max="2319" width="11.42578125" style="168" customWidth="1"/>
    <col min="2320" max="2553" width="9.28515625" style="168"/>
    <col min="2554" max="2554" width="7.7109375" style="168" customWidth="1"/>
    <col min="2555" max="2555" width="59.42578125" style="168" customWidth="1"/>
    <col min="2556" max="2556" width="14.5703125" style="168" bestFit="1" customWidth="1"/>
    <col min="2557" max="2557" width="9.140625" style="168" customWidth="1"/>
    <col min="2558" max="2560" width="0" style="168" hidden="1" customWidth="1"/>
    <col min="2561" max="2561" width="6.7109375" style="168" customWidth="1"/>
    <col min="2562" max="2562" width="7.28515625" style="168" customWidth="1"/>
    <col min="2563" max="2563" width="75.7109375" style="168" customWidth="1"/>
    <col min="2564" max="2564" width="18.5703125" style="168" customWidth="1"/>
    <col min="2565" max="2565" width="9.7109375" style="168" customWidth="1"/>
    <col min="2566" max="2566" width="3.28515625" style="168" customWidth="1"/>
    <col min="2567" max="2567" width="6.42578125" style="168" customWidth="1"/>
    <col min="2568" max="2568" width="66.7109375" style="168" customWidth="1"/>
    <col min="2569" max="2569" width="16.7109375" style="168" customWidth="1"/>
    <col min="2570" max="2571" width="9.28515625" style="168"/>
    <col min="2572" max="2572" width="15.5703125" style="168" bestFit="1" customWidth="1"/>
    <col min="2573" max="2573" width="66.42578125" style="168" bestFit="1" customWidth="1"/>
    <col min="2574" max="2574" width="13.28515625" style="168" bestFit="1" customWidth="1"/>
    <col min="2575" max="2575" width="11.42578125" style="168" customWidth="1"/>
    <col min="2576" max="2809" width="9.28515625" style="168"/>
    <col min="2810" max="2810" width="7.7109375" style="168" customWidth="1"/>
    <col min="2811" max="2811" width="59.42578125" style="168" customWidth="1"/>
    <col min="2812" max="2812" width="14.5703125" style="168" bestFit="1" customWidth="1"/>
    <col min="2813" max="2813" width="9.140625" style="168" customWidth="1"/>
    <col min="2814" max="2816" width="0" style="168" hidden="1" customWidth="1"/>
    <col min="2817" max="2817" width="6.7109375" style="168" customWidth="1"/>
    <col min="2818" max="2818" width="7.28515625" style="168" customWidth="1"/>
    <col min="2819" max="2819" width="75.7109375" style="168" customWidth="1"/>
    <col min="2820" max="2820" width="18.5703125" style="168" customWidth="1"/>
    <col min="2821" max="2821" width="9.7109375" style="168" customWidth="1"/>
    <col min="2822" max="2822" width="3.28515625" style="168" customWidth="1"/>
    <col min="2823" max="2823" width="6.42578125" style="168" customWidth="1"/>
    <col min="2824" max="2824" width="66.7109375" style="168" customWidth="1"/>
    <col min="2825" max="2825" width="16.7109375" style="168" customWidth="1"/>
    <col min="2826" max="2827" width="9.28515625" style="168"/>
    <col min="2828" max="2828" width="15.5703125" style="168" bestFit="1" customWidth="1"/>
    <col min="2829" max="2829" width="66.42578125" style="168" bestFit="1" customWidth="1"/>
    <col min="2830" max="2830" width="13.28515625" style="168" bestFit="1" customWidth="1"/>
    <col min="2831" max="2831" width="11.42578125" style="168" customWidth="1"/>
    <col min="2832" max="3065" width="9.28515625" style="168"/>
    <col min="3066" max="3066" width="7.7109375" style="168" customWidth="1"/>
    <col min="3067" max="3067" width="59.42578125" style="168" customWidth="1"/>
    <col min="3068" max="3068" width="14.5703125" style="168" bestFit="1" customWidth="1"/>
    <col min="3069" max="3069" width="9.140625" style="168" customWidth="1"/>
    <col min="3070" max="3072" width="0" style="168" hidden="1" customWidth="1"/>
    <col min="3073" max="3073" width="6.7109375" style="168" customWidth="1"/>
    <col min="3074" max="3074" width="7.28515625" style="168" customWidth="1"/>
    <col min="3075" max="3075" width="75.7109375" style="168" customWidth="1"/>
    <col min="3076" max="3076" width="18.5703125" style="168" customWidth="1"/>
    <col min="3077" max="3077" width="9.7109375" style="168" customWidth="1"/>
    <col min="3078" max="3078" width="3.28515625" style="168" customWidth="1"/>
    <col min="3079" max="3079" width="6.42578125" style="168" customWidth="1"/>
    <col min="3080" max="3080" width="66.7109375" style="168" customWidth="1"/>
    <col min="3081" max="3081" width="16.7109375" style="168" customWidth="1"/>
    <col min="3082" max="3083" width="9.28515625" style="168"/>
    <col min="3084" max="3084" width="15.5703125" style="168" bestFit="1" customWidth="1"/>
    <col min="3085" max="3085" width="66.42578125" style="168" bestFit="1" customWidth="1"/>
    <col min="3086" max="3086" width="13.28515625" style="168" bestFit="1" customWidth="1"/>
    <col min="3087" max="3087" width="11.42578125" style="168" customWidth="1"/>
    <col min="3088" max="3321" width="9.28515625" style="168"/>
    <col min="3322" max="3322" width="7.7109375" style="168" customWidth="1"/>
    <col min="3323" max="3323" width="59.42578125" style="168" customWidth="1"/>
    <col min="3324" max="3324" width="14.5703125" style="168" bestFit="1" customWidth="1"/>
    <col min="3325" max="3325" width="9.140625" style="168" customWidth="1"/>
    <col min="3326" max="3328" width="0" style="168" hidden="1" customWidth="1"/>
    <col min="3329" max="3329" width="6.7109375" style="168" customWidth="1"/>
    <col min="3330" max="3330" width="7.28515625" style="168" customWidth="1"/>
    <col min="3331" max="3331" width="75.7109375" style="168" customWidth="1"/>
    <col min="3332" max="3332" width="18.5703125" style="168" customWidth="1"/>
    <col min="3333" max="3333" width="9.7109375" style="168" customWidth="1"/>
    <col min="3334" max="3334" width="3.28515625" style="168" customWidth="1"/>
    <col min="3335" max="3335" width="6.42578125" style="168" customWidth="1"/>
    <col min="3336" max="3336" width="66.7109375" style="168" customWidth="1"/>
    <col min="3337" max="3337" width="16.7109375" style="168" customWidth="1"/>
    <col min="3338" max="3339" width="9.28515625" style="168"/>
    <col min="3340" max="3340" width="15.5703125" style="168" bestFit="1" customWidth="1"/>
    <col min="3341" max="3341" width="66.42578125" style="168" bestFit="1" customWidth="1"/>
    <col min="3342" max="3342" width="13.28515625" style="168" bestFit="1" customWidth="1"/>
    <col min="3343" max="3343" width="11.42578125" style="168" customWidth="1"/>
    <col min="3344" max="3577" width="9.28515625" style="168"/>
    <col min="3578" max="3578" width="7.7109375" style="168" customWidth="1"/>
    <col min="3579" max="3579" width="59.42578125" style="168" customWidth="1"/>
    <col min="3580" max="3580" width="14.5703125" style="168" bestFit="1" customWidth="1"/>
    <col min="3581" max="3581" width="9.140625" style="168" customWidth="1"/>
    <col min="3582" max="3584" width="0" style="168" hidden="1" customWidth="1"/>
    <col min="3585" max="3585" width="6.7109375" style="168" customWidth="1"/>
    <col min="3586" max="3586" width="7.28515625" style="168" customWidth="1"/>
    <col min="3587" max="3587" width="75.7109375" style="168" customWidth="1"/>
    <col min="3588" max="3588" width="18.5703125" style="168" customWidth="1"/>
    <col min="3589" max="3589" width="9.7109375" style="168" customWidth="1"/>
    <col min="3590" max="3590" width="3.28515625" style="168" customWidth="1"/>
    <col min="3591" max="3591" width="6.42578125" style="168" customWidth="1"/>
    <col min="3592" max="3592" width="66.7109375" style="168" customWidth="1"/>
    <col min="3593" max="3593" width="16.7109375" style="168" customWidth="1"/>
    <col min="3594" max="3595" width="9.28515625" style="168"/>
    <col min="3596" max="3596" width="15.5703125" style="168" bestFit="1" customWidth="1"/>
    <col min="3597" max="3597" width="66.42578125" style="168" bestFit="1" customWidth="1"/>
    <col min="3598" max="3598" width="13.28515625" style="168" bestFit="1" customWidth="1"/>
    <col min="3599" max="3599" width="11.42578125" style="168" customWidth="1"/>
    <col min="3600" max="3833" width="9.28515625" style="168"/>
    <col min="3834" max="3834" width="7.7109375" style="168" customWidth="1"/>
    <col min="3835" max="3835" width="59.42578125" style="168" customWidth="1"/>
    <col min="3836" max="3836" width="14.5703125" style="168" bestFit="1" customWidth="1"/>
    <col min="3837" max="3837" width="9.140625" style="168" customWidth="1"/>
    <col min="3838" max="3840" width="0" style="168" hidden="1" customWidth="1"/>
    <col min="3841" max="3841" width="6.7109375" style="168" customWidth="1"/>
    <col min="3842" max="3842" width="7.28515625" style="168" customWidth="1"/>
    <col min="3843" max="3843" width="75.7109375" style="168" customWidth="1"/>
    <col min="3844" max="3844" width="18.5703125" style="168" customWidth="1"/>
    <col min="3845" max="3845" width="9.7109375" style="168" customWidth="1"/>
    <col min="3846" max="3846" width="3.28515625" style="168" customWidth="1"/>
    <col min="3847" max="3847" width="6.42578125" style="168" customWidth="1"/>
    <col min="3848" max="3848" width="66.7109375" style="168" customWidth="1"/>
    <col min="3849" max="3849" width="16.7109375" style="168" customWidth="1"/>
    <col min="3850" max="3851" width="9.28515625" style="168"/>
    <col min="3852" max="3852" width="15.5703125" style="168" bestFit="1" customWidth="1"/>
    <col min="3853" max="3853" width="66.42578125" style="168" bestFit="1" customWidth="1"/>
    <col min="3854" max="3854" width="13.28515625" style="168" bestFit="1" customWidth="1"/>
    <col min="3855" max="3855" width="11.42578125" style="168" customWidth="1"/>
    <col min="3856" max="4089" width="9.28515625" style="168"/>
    <col min="4090" max="4090" width="7.7109375" style="168" customWidth="1"/>
    <col min="4091" max="4091" width="59.42578125" style="168" customWidth="1"/>
    <col min="4092" max="4092" width="14.5703125" style="168" bestFit="1" customWidth="1"/>
    <col min="4093" max="4093" width="9.140625" style="168" customWidth="1"/>
    <col min="4094" max="4096" width="0" style="168" hidden="1" customWidth="1"/>
    <col min="4097" max="4097" width="6.7109375" style="168" customWidth="1"/>
    <col min="4098" max="4098" width="7.28515625" style="168" customWidth="1"/>
    <col min="4099" max="4099" width="75.7109375" style="168" customWidth="1"/>
    <col min="4100" max="4100" width="18.5703125" style="168" customWidth="1"/>
    <col min="4101" max="4101" width="9.7109375" style="168" customWidth="1"/>
    <col min="4102" max="4102" width="3.28515625" style="168" customWidth="1"/>
    <col min="4103" max="4103" width="6.42578125" style="168" customWidth="1"/>
    <col min="4104" max="4104" width="66.7109375" style="168" customWidth="1"/>
    <col min="4105" max="4105" width="16.7109375" style="168" customWidth="1"/>
    <col min="4106" max="4107" width="9.28515625" style="168"/>
    <col min="4108" max="4108" width="15.5703125" style="168" bestFit="1" customWidth="1"/>
    <col min="4109" max="4109" width="66.42578125" style="168" bestFit="1" customWidth="1"/>
    <col min="4110" max="4110" width="13.28515625" style="168" bestFit="1" customWidth="1"/>
    <col min="4111" max="4111" width="11.42578125" style="168" customWidth="1"/>
    <col min="4112" max="4345" width="9.28515625" style="168"/>
    <col min="4346" max="4346" width="7.7109375" style="168" customWidth="1"/>
    <col min="4347" max="4347" width="59.42578125" style="168" customWidth="1"/>
    <col min="4348" max="4348" width="14.5703125" style="168" bestFit="1" customWidth="1"/>
    <col min="4349" max="4349" width="9.140625" style="168" customWidth="1"/>
    <col min="4350" max="4352" width="0" style="168" hidden="1" customWidth="1"/>
    <col min="4353" max="4353" width="6.7109375" style="168" customWidth="1"/>
    <col min="4354" max="4354" width="7.28515625" style="168" customWidth="1"/>
    <col min="4355" max="4355" width="75.7109375" style="168" customWidth="1"/>
    <col min="4356" max="4356" width="18.5703125" style="168" customWidth="1"/>
    <col min="4357" max="4357" width="9.7109375" style="168" customWidth="1"/>
    <col min="4358" max="4358" width="3.28515625" style="168" customWidth="1"/>
    <col min="4359" max="4359" width="6.42578125" style="168" customWidth="1"/>
    <col min="4360" max="4360" width="66.7109375" style="168" customWidth="1"/>
    <col min="4361" max="4361" width="16.7109375" style="168" customWidth="1"/>
    <col min="4362" max="4363" width="9.28515625" style="168"/>
    <col min="4364" max="4364" width="15.5703125" style="168" bestFit="1" customWidth="1"/>
    <col min="4365" max="4365" width="66.42578125" style="168" bestFit="1" customWidth="1"/>
    <col min="4366" max="4366" width="13.28515625" style="168" bestFit="1" customWidth="1"/>
    <col min="4367" max="4367" width="11.42578125" style="168" customWidth="1"/>
    <col min="4368" max="4601" width="9.28515625" style="168"/>
    <col min="4602" max="4602" width="7.7109375" style="168" customWidth="1"/>
    <col min="4603" max="4603" width="59.42578125" style="168" customWidth="1"/>
    <col min="4604" max="4604" width="14.5703125" style="168" bestFit="1" customWidth="1"/>
    <col min="4605" max="4605" width="9.140625" style="168" customWidth="1"/>
    <col min="4606" max="4608" width="0" style="168" hidden="1" customWidth="1"/>
    <col min="4609" max="4609" width="6.7109375" style="168" customWidth="1"/>
    <col min="4610" max="4610" width="7.28515625" style="168" customWidth="1"/>
    <col min="4611" max="4611" width="75.7109375" style="168" customWidth="1"/>
    <col min="4612" max="4612" width="18.5703125" style="168" customWidth="1"/>
    <col min="4613" max="4613" width="9.7109375" style="168" customWidth="1"/>
    <col min="4614" max="4614" width="3.28515625" style="168" customWidth="1"/>
    <col min="4615" max="4615" width="6.42578125" style="168" customWidth="1"/>
    <col min="4616" max="4616" width="66.7109375" style="168" customWidth="1"/>
    <col min="4617" max="4617" width="16.7109375" style="168" customWidth="1"/>
    <col min="4618" max="4619" width="9.28515625" style="168"/>
    <col min="4620" max="4620" width="15.5703125" style="168" bestFit="1" customWidth="1"/>
    <col min="4621" max="4621" width="66.42578125" style="168" bestFit="1" customWidth="1"/>
    <col min="4622" max="4622" width="13.28515625" style="168" bestFit="1" customWidth="1"/>
    <col min="4623" max="4623" width="11.42578125" style="168" customWidth="1"/>
    <col min="4624" max="4857" width="9.28515625" style="168"/>
    <col min="4858" max="4858" width="7.7109375" style="168" customWidth="1"/>
    <col min="4859" max="4859" width="59.42578125" style="168" customWidth="1"/>
    <col min="4860" max="4860" width="14.5703125" style="168" bestFit="1" customWidth="1"/>
    <col min="4861" max="4861" width="9.140625" style="168" customWidth="1"/>
    <col min="4862" max="4864" width="0" style="168" hidden="1" customWidth="1"/>
    <col min="4865" max="4865" width="6.7109375" style="168" customWidth="1"/>
    <col min="4866" max="4866" width="7.28515625" style="168" customWidth="1"/>
    <col min="4867" max="4867" width="75.7109375" style="168" customWidth="1"/>
    <col min="4868" max="4868" width="18.5703125" style="168" customWidth="1"/>
    <col min="4869" max="4869" width="9.7109375" style="168" customWidth="1"/>
    <col min="4870" max="4870" width="3.28515625" style="168" customWidth="1"/>
    <col min="4871" max="4871" width="6.42578125" style="168" customWidth="1"/>
    <col min="4872" max="4872" width="66.7109375" style="168" customWidth="1"/>
    <col min="4873" max="4873" width="16.7109375" style="168" customWidth="1"/>
    <col min="4874" max="4875" width="9.28515625" style="168"/>
    <col min="4876" max="4876" width="15.5703125" style="168" bestFit="1" customWidth="1"/>
    <col min="4877" max="4877" width="66.42578125" style="168" bestFit="1" customWidth="1"/>
    <col min="4878" max="4878" width="13.28515625" style="168" bestFit="1" customWidth="1"/>
    <col min="4879" max="4879" width="11.42578125" style="168" customWidth="1"/>
    <col min="4880" max="5113" width="9.28515625" style="168"/>
    <col min="5114" max="5114" width="7.7109375" style="168" customWidth="1"/>
    <col min="5115" max="5115" width="59.42578125" style="168" customWidth="1"/>
    <col min="5116" max="5116" width="14.5703125" style="168" bestFit="1" customWidth="1"/>
    <col min="5117" max="5117" width="9.140625" style="168" customWidth="1"/>
    <col min="5118" max="5120" width="0" style="168" hidden="1" customWidth="1"/>
    <col min="5121" max="5121" width="6.7109375" style="168" customWidth="1"/>
    <col min="5122" max="5122" width="7.28515625" style="168" customWidth="1"/>
    <col min="5123" max="5123" width="75.7109375" style="168" customWidth="1"/>
    <col min="5124" max="5124" width="18.5703125" style="168" customWidth="1"/>
    <col min="5125" max="5125" width="9.7109375" style="168" customWidth="1"/>
    <col min="5126" max="5126" width="3.28515625" style="168" customWidth="1"/>
    <col min="5127" max="5127" width="6.42578125" style="168" customWidth="1"/>
    <col min="5128" max="5128" width="66.7109375" style="168" customWidth="1"/>
    <col min="5129" max="5129" width="16.7109375" style="168" customWidth="1"/>
    <col min="5130" max="5131" width="9.28515625" style="168"/>
    <col min="5132" max="5132" width="15.5703125" style="168" bestFit="1" customWidth="1"/>
    <col min="5133" max="5133" width="66.42578125" style="168" bestFit="1" customWidth="1"/>
    <col min="5134" max="5134" width="13.28515625" style="168" bestFit="1" customWidth="1"/>
    <col min="5135" max="5135" width="11.42578125" style="168" customWidth="1"/>
    <col min="5136" max="5369" width="9.28515625" style="168"/>
    <col min="5370" max="5370" width="7.7109375" style="168" customWidth="1"/>
    <col min="5371" max="5371" width="59.42578125" style="168" customWidth="1"/>
    <col min="5372" max="5372" width="14.5703125" style="168" bestFit="1" customWidth="1"/>
    <col min="5373" max="5373" width="9.140625" style="168" customWidth="1"/>
    <col min="5374" max="5376" width="0" style="168" hidden="1" customWidth="1"/>
    <col min="5377" max="5377" width="6.7109375" style="168" customWidth="1"/>
    <col min="5378" max="5378" width="7.28515625" style="168" customWidth="1"/>
    <col min="5379" max="5379" width="75.7109375" style="168" customWidth="1"/>
    <col min="5380" max="5380" width="18.5703125" style="168" customWidth="1"/>
    <col min="5381" max="5381" width="9.7109375" style="168" customWidth="1"/>
    <col min="5382" max="5382" width="3.28515625" style="168" customWidth="1"/>
    <col min="5383" max="5383" width="6.42578125" style="168" customWidth="1"/>
    <col min="5384" max="5384" width="66.7109375" style="168" customWidth="1"/>
    <col min="5385" max="5385" width="16.7109375" style="168" customWidth="1"/>
    <col min="5386" max="5387" width="9.28515625" style="168"/>
    <col min="5388" max="5388" width="15.5703125" style="168" bestFit="1" customWidth="1"/>
    <col min="5389" max="5389" width="66.42578125" style="168" bestFit="1" customWidth="1"/>
    <col min="5390" max="5390" width="13.28515625" style="168" bestFit="1" customWidth="1"/>
    <col min="5391" max="5391" width="11.42578125" style="168" customWidth="1"/>
    <col min="5392" max="5625" width="9.28515625" style="168"/>
    <col min="5626" max="5626" width="7.7109375" style="168" customWidth="1"/>
    <col min="5627" max="5627" width="59.42578125" style="168" customWidth="1"/>
    <col min="5628" max="5628" width="14.5703125" style="168" bestFit="1" customWidth="1"/>
    <col min="5629" max="5629" width="9.140625" style="168" customWidth="1"/>
    <col min="5630" max="5632" width="0" style="168" hidden="1" customWidth="1"/>
    <col min="5633" max="5633" width="6.7109375" style="168" customWidth="1"/>
    <col min="5634" max="5634" width="7.28515625" style="168" customWidth="1"/>
    <col min="5635" max="5635" width="75.7109375" style="168" customWidth="1"/>
    <col min="5636" max="5636" width="18.5703125" style="168" customWidth="1"/>
    <col min="5637" max="5637" width="9.7109375" style="168" customWidth="1"/>
    <col min="5638" max="5638" width="3.28515625" style="168" customWidth="1"/>
    <col min="5639" max="5639" width="6.42578125" style="168" customWidth="1"/>
    <col min="5640" max="5640" width="66.7109375" style="168" customWidth="1"/>
    <col min="5641" max="5641" width="16.7109375" style="168" customWidth="1"/>
    <col min="5642" max="5643" width="9.28515625" style="168"/>
    <col min="5644" max="5644" width="15.5703125" style="168" bestFit="1" customWidth="1"/>
    <col min="5645" max="5645" width="66.42578125" style="168" bestFit="1" customWidth="1"/>
    <col min="5646" max="5646" width="13.28515625" style="168" bestFit="1" customWidth="1"/>
    <col min="5647" max="5647" width="11.42578125" style="168" customWidth="1"/>
    <col min="5648" max="5881" width="9.28515625" style="168"/>
    <col min="5882" max="5882" width="7.7109375" style="168" customWidth="1"/>
    <col min="5883" max="5883" width="59.42578125" style="168" customWidth="1"/>
    <col min="5884" max="5884" width="14.5703125" style="168" bestFit="1" customWidth="1"/>
    <col min="5885" max="5885" width="9.140625" style="168" customWidth="1"/>
    <col min="5886" max="5888" width="0" style="168" hidden="1" customWidth="1"/>
    <col min="5889" max="5889" width="6.7109375" style="168" customWidth="1"/>
    <col min="5890" max="5890" width="7.28515625" style="168" customWidth="1"/>
    <col min="5891" max="5891" width="75.7109375" style="168" customWidth="1"/>
    <col min="5892" max="5892" width="18.5703125" style="168" customWidth="1"/>
    <col min="5893" max="5893" width="9.7109375" style="168" customWidth="1"/>
    <col min="5894" max="5894" width="3.28515625" style="168" customWidth="1"/>
    <col min="5895" max="5895" width="6.42578125" style="168" customWidth="1"/>
    <col min="5896" max="5896" width="66.7109375" style="168" customWidth="1"/>
    <col min="5897" max="5897" width="16.7109375" style="168" customWidth="1"/>
    <col min="5898" max="5899" width="9.28515625" style="168"/>
    <col min="5900" max="5900" width="15.5703125" style="168" bestFit="1" customWidth="1"/>
    <col min="5901" max="5901" width="66.42578125" style="168" bestFit="1" customWidth="1"/>
    <col min="5902" max="5902" width="13.28515625" style="168" bestFit="1" customWidth="1"/>
    <col min="5903" max="5903" width="11.42578125" style="168" customWidth="1"/>
    <col min="5904" max="6137" width="9.28515625" style="168"/>
    <col min="6138" max="6138" width="7.7109375" style="168" customWidth="1"/>
    <col min="6139" max="6139" width="59.42578125" style="168" customWidth="1"/>
    <col min="6140" max="6140" width="14.5703125" style="168" bestFit="1" customWidth="1"/>
    <col min="6141" max="6141" width="9.140625" style="168" customWidth="1"/>
    <col min="6142" max="6144" width="0" style="168" hidden="1" customWidth="1"/>
    <col min="6145" max="6145" width="6.7109375" style="168" customWidth="1"/>
    <col min="6146" max="6146" width="7.28515625" style="168" customWidth="1"/>
    <col min="6147" max="6147" width="75.7109375" style="168" customWidth="1"/>
    <col min="6148" max="6148" width="18.5703125" style="168" customWidth="1"/>
    <col min="6149" max="6149" width="9.7109375" style="168" customWidth="1"/>
    <col min="6150" max="6150" width="3.28515625" style="168" customWidth="1"/>
    <col min="6151" max="6151" width="6.42578125" style="168" customWidth="1"/>
    <col min="6152" max="6152" width="66.7109375" style="168" customWidth="1"/>
    <col min="6153" max="6153" width="16.7109375" style="168" customWidth="1"/>
    <col min="6154" max="6155" width="9.28515625" style="168"/>
    <col min="6156" max="6156" width="15.5703125" style="168" bestFit="1" customWidth="1"/>
    <col min="6157" max="6157" width="66.42578125" style="168" bestFit="1" customWidth="1"/>
    <col min="6158" max="6158" width="13.28515625" style="168" bestFit="1" customWidth="1"/>
    <col min="6159" max="6159" width="11.42578125" style="168" customWidth="1"/>
    <col min="6160" max="6393" width="9.28515625" style="168"/>
    <col min="6394" max="6394" width="7.7109375" style="168" customWidth="1"/>
    <col min="6395" max="6395" width="59.42578125" style="168" customWidth="1"/>
    <col min="6396" max="6396" width="14.5703125" style="168" bestFit="1" customWidth="1"/>
    <col min="6397" max="6397" width="9.140625" style="168" customWidth="1"/>
    <col min="6398" max="6400" width="0" style="168" hidden="1" customWidth="1"/>
    <col min="6401" max="6401" width="6.7109375" style="168" customWidth="1"/>
    <col min="6402" max="6402" width="7.28515625" style="168" customWidth="1"/>
    <col min="6403" max="6403" width="75.7109375" style="168" customWidth="1"/>
    <col min="6404" max="6404" width="18.5703125" style="168" customWidth="1"/>
    <col min="6405" max="6405" width="9.7109375" style="168" customWidth="1"/>
    <col min="6406" max="6406" width="3.28515625" style="168" customWidth="1"/>
    <col min="6407" max="6407" width="6.42578125" style="168" customWidth="1"/>
    <col min="6408" max="6408" width="66.7109375" style="168" customWidth="1"/>
    <col min="6409" max="6409" width="16.7109375" style="168" customWidth="1"/>
    <col min="6410" max="6411" width="9.28515625" style="168"/>
    <col min="6412" max="6412" width="15.5703125" style="168" bestFit="1" customWidth="1"/>
    <col min="6413" max="6413" width="66.42578125" style="168" bestFit="1" customWidth="1"/>
    <col min="6414" max="6414" width="13.28515625" style="168" bestFit="1" customWidth="1"/>
    <col min="6415" max="6415" width="11.42578125" style="168" customWidth="1"/>
    <col min="6416" max="6649" width="9.28515625" style="168"/>
    <col min="6650" max="6650" width="7.7109375" style="168" customWidth="1"/>
    <col min="6651" max="6651" width="59.42578125" style="168" customWidth="1"/>
    <col min="6652" max="6652" width="14.5703125" style="168" bestFit="1" customWidth="1"/>
    <col min="6653" max="6653" width="9.140625" style="168" customWidth="1"/>
    <col min="6654" max="6656" width="0" style="168" hidden="1" customWidth="1"/>
    <col min="6657" max="6657" width="6.7109375" style="168" customWidth="1"/>
    <col min="6658" max="6658" width="7.28515625" style="168" customWidth="1"/>
    <col min="6659" max="6659" width="75.7109375" style="168" customWidth="1"/>
    <col min="6660" max="6660" width="18.5703125" style="168" customWidth="1"/>
    <col min="6661" max="6661" width="9.7109375" style="168" customWidth="1"/>
    <col min="6662" max="6662" width="3.28515625" style="168" customWidth="1"/>
    <col min="6663" max="6663" width="6.42578125" style="168" customWidth="1"/>
    <col min="6664" max="6664" width="66.7109375" style="168" customWidth="1"/>
    <col min="6665" max="6665" width="16.7109375" style="168" customWidth="1"/>
    <col min="6666" max="6667" width="9.28515625" style="168"/>
    <col min="6668" max="6668" width="15.5703125" style="168" bestFit="1" customWidth="1"/>
    <col min="6669" max="6669" width="66.42578125" style="168" bestFit="1" customWidth="1"/>
    <col min="6670" max="6670" width="13.28515625" style="168" bestFit="1" customWidth="1"/>
    <col min="6671" max="6671" width="11.42578125" style="168" customWidth="1"/>
    <col min="6672" max="6905" width="9.28515625" style="168"/>
    <col min="6906" max="6906" width="7.7109375" style="168" customWidth="1"/>
    <col min="6907" max="6907" width="59.42578125" style="168" customWidth="1"/>
    <col min="6908" max="6908" width="14.5703125" style="168" bestFit="1" customWidth="1"/>
    <col min="6909" max="6909" width="9.140625" style="168" customWidth="1"/>
    <col min="6910" max="6912" width="0" style="168" hidden="1" customWidth="1"/>
    <col min="6913" max="6913" width="6.7109375" style="168" customWidth="1"/>
    <col min="6914" max="6914" width="7.28515625" style="168" customWidth="1"/>
    <col min="6915" max="6915" width="75.7109375" style="168" customWidth="1"/>
    <col min="6916" max="6916" width="18.5703125" style="168" customWidth="1"/>
    <col min="6917" max="6917" width="9.7109375" style="168" customWidth="1"/>
    <col min="6918" max="6918" width="3.28515625" style="168" customWidth="1"/>
    <col min="6919" max="6919" width="6.42578125" style="168" customWidth="1"/>
    <col min="6920" max="6920" width="66.7109375" style="168" customWidth="1"/>
    <col min="6921" max="6921" width="16.7109375" style="168" customWidth="1"/>
    <col min="6922" max="6923" width="9.28515625" style="168"/>
    <col min="6924" max="6924" width="15.5703125" style="168" bestFit="1" customWidth="1"/>
    <col min="6925" max="6925" width="66.42578125" style="168" bestFit="1" customWidth="1"/>
    <col min="6926" max="6926" width="13.28515625" style="168" bestFit="1" customWidth="1"/>
    <col min="6927" max="6927" width="11.42578125" style="168" customWidth="1"/>
    <col min="6928" max="7161" width="9.28515625" style="168"/>
    <col min="7162" max="7162" width="7.7109375" style="168" customWidth="1"/>
    <col min="7163" max="7163" width="59.42578125" style="168" customWidth="1"/>
    <col min="7164" max="7164" width="14.5703125" style="168" bestFit="1" customWidth="1"/>
    <col min="7165" max="7165" width="9.140625" style="168" customWidth="1"/>
    <col min="7166" max="7168" width="0" style="168" hidden="1" customWidth="1"/>
    <col min="7169" max="7169" width="6.7109375" style="168" customWidth="1"/>
    <col min="7170" max="7170" width="7.28515625" style="168" customWidth="1"/>
    <col min="7171" max="7171" width="75.7109375" style="168" customWidth="1"/>
    <col min="7172" max="7172" width="18.5703125" style="168" customWidth="1"/>
    <col min="7173" max="7173" width="9.7109375" style="168" customWidth="1"/>
    <col min="7174" max="7174" width="3.28515625" style="168" customWidth="1"/>
    <col min="7175" max="7175" width="6.42578125" style="168" customWidth="1"/>
    <col min="7176" max="7176" width="66.7109375" style="168" customWidth="1"/>
    <col min="7177" max="7177" width="16.7109375" style="168" customWidth="1"/>
    <col min="7178" max="7179" width="9.28515625" style="168"/>
    <col min="7180" max="7180" width="15.5703125" style="168" bestFit="1" customWidth="1"/>
    <col min="7181" max="7181" width="66.42578125" style="168" bestFit="1" customWidth="1"/>
    <col min="7182" max="7182" width="13.28515625" style="168" bestFit="1" customWidth="1"/>
    <col min="7183" max="7183" width="11.42578125" style="168" customWidth="1"/>
    <col min="7184" max="7417" width="9.28515625" style="168"/>
    <col min="7418" max="7418" width="7.7109375" style="168" customWidth="1"/>
    <col min="7419" max="7419" width="59.42578125" style="168" customWidth="1"/>
    <col min="7420" max="7420" width="14.5703125" style="168" bestFit="1" customWidth="1"/>
    <col min="7421" max="7421" width="9.140625" style="168" customWidth="1"/>
    <col min="7422" max="7424" width="0" style="168" hidden="1" customWidth="1"/>
    <col min="7425" max="7425" width="6.7109375" style="168" customWidth="1"/>
    <col min="7426" max="7426" width="7.28515625" style="168" customWidth="1"/>
    <col min="7427" max="7427" width="75.7109375" style="168" customWidth="1"/>
    <col min="7428" max="7428" width="18.5703125" style="168" customWidth="1"/>
    <col min="7429" max="7429" width="9.7109375" style="168" customWidth="1"/>
    <col min="7430" max="7430" width="3.28515625" style="168" customWidth="1"/>
    <col min="7431" max="7431" width="6.42578125" style="168" customWidth="1"/>
    <col min="7432" max="7432" width="66.7109375" style="168" customWidth="1"/>
    <col min="7433" max="7433" width="16.7109375" style="168" customWidth="1"/>
    <col min="7434" max="7435" width="9.28515625" style="168"/>
    <col min="7436" max="7436" width="15.5703125" style="168" bestFit="1" customWidth="1"/>
    <col min="7437" max="7437" width="66.42578125" style="168" bestFit="1" customWidth="1"/>
    <col min="7438" max="7438" width="13.28515625" style="168" bestFit="1" customWidth="1"/>
    <col min="7439" max="7439" width="11.42578125" style="168" customWidth="1"/>
    <col min="7440" max="7673" width="9.28515625" style="168"/>
    <col min="7674" max="7674" width="7.7109375" style="168" customWidth="1"/>
    <col min="7675" max="7675" width="59.42578125" style="168" customWidth="1"/>
    <col min="7676" max="7676" width="14.5703125" style="168" bestFit="1" customWidth="1"/>
    <col min="7677" max="7677" width="9.140625" style="168" customWidth="1"/>
    <col min="7678" max="7680" width="0" style="168" hidden="1" customWidth="1"/>
    <col min="7681" max="7681" width="6.7109375" style="168" customWidth="1"/>
    <col min="7682" max="7682" width="7.28515625" style="168" customWidth="1"/>
    <col min="7683" max="7683" width="75.7109375" style="168" customWidth="1"/>
    <col min="7684" max="7684" width="18.5703125" style="168" customWidth="1"/>
    <col min="7685" max="7685" width="9.7109375" style="168" customWidth="1"/>
    <col min="7686" max="7686" width="3.28515625" style="168" customWidth="1"/>
    <col min="7687" max="7687" width="6.42578125" style="168" customWidth="1"/>
    <col min="7688" max="7688" width="66.7109375" style="168" customWidth="1"/>
    <col min="7689" max="7689" width="16.7109375" style="168" customWidth="1"/>
    <col min="7690" max="7691" width="9.28515625" style="168"/>
    <col min="7692" max="7692" width="15.5703125" style="168" bestFit="1" customWidth="1"/>
    <col min="7693" max="7693" width="66.42578125" style="168" bestFit="1" customWidth="1"/>
    <col min="7694" max="7694" width="13.28515625" style="168" bestFit="1" customWidth="1"/>
    <col min="7695" max="7695" width="11.42578125" style="168" customWidth="1"/>
    <col min="7696" max="7929" width="9.28515625" style="168"/>
    <col min="7930" max="7930" width="7.7109375" style="168" customWidth="1"/>
    <col min="7931" max="7931" width="59.42578125" style="168" customWidth="1"/>
    <col min="7932" max="7932" width="14.5703125" style="168" bestFit="1" customWidth="1"/>
    <col min="7933" max="7933" width="9.140625" style="168" customWidth="1"/>
    <col min="7934" max="7936" width="0" style="168" hidden="1" customWidth="1"/>
    <col min="7937" max="7937" width="6.7109375" style="168" customWidth="1"/>
    <col min="7938" max="7938" width="7.28515625" style="168" customWidth="1"/>
    <col min="7939" max="7939" width="75.7109375" style="168" customWidth="1"/>
    <col min="7940" max="7940" width="18.5703125" style="168" customWidth="1"/>
    <col min="7941" max="7941" width="9.7109375" style="168" customWidth="1"/>
    <col min="7942" max="7942" width="3.28515625" style="168" customWidth="1"/>
    <col min="7943" max="7943" width="6.42578125" style="168" customWidth="1"/>
    <col min="7944" max="7944" width="66.7109375" style="168" customWidth="1"/>
    <col min="7945" max="7945" width="16.7109375" style="168" customWidth="1"/>
    <col min="7946" max="7947" width="9.28515625" style="168"/>
    <col min="7948" max="7948" width="15.5703125" style="168" bestFit="1" customWidth="1"/>
    <col min="7949" max="7949" width="66.42578125" style="168" bestFit="1" customWidth="1"/>
    <col min="7950" max="7950" width="13.28515625" style="168" bestFit="1" customWidth="1"/>
    <col min="7951" max="7951" width="11.42578125" style="168" customWidth="1"/>
    <col min="7952" max="8185" width="9.28515625" style="168"/>
    <col min="8186" max="8186" width="7.7109375" style="168" customWidth="1"/>
    <col min="8187" max="8187" width="59.42578125" style="168" customWidth="1"/>
    <col min="8188" max="8188" width="14.5703125" style="168" bestFit="1" customWidth="1"/>
    <col min="8189" max="8189" width="9.140625" style="168" customWidth="1"/>
    <col min="8190" max="8192" width="0" style="168" hidden="1" customWidth="1"/>
    <col min="8193" max="8193" width="6.7109375" style="168" customWidth="1"/>
    <col min="8194" max="8194" width="7.28515625" style="168" customWidth="1"/>
    <col min="8195" max="8195" width="75.7109375" style="168" customWidth="1"/>
    <col min="8196" max="8196" width="18.5703125" style="168" customWidth="1"/>
    <col min="8197" max="8197" width="9.7109375" style="168" customWidth="1"/>
    <col min="8198" max="8198" width="3.28515625" style="168" customWidth="1"/>
    <col min="8199" max="8199" width="6.42578125" style="168" customWidth="1"/>
    <col min="8200" max="8200" width="66.7109375" style="168" customWidth="1"/>
    <col min="8201" max="8201" width="16.7109375" style="168" customWidth="1"/>
    <col min="8202" max="8203" width="9.28515625" style="168"/>
    <col min="8204" max="8204" width="15.5703125" style="168" bestFit="1" customWidth="1"/>
    <col min="8205" max="8205" width="66.42578125" style="168" bestFit="1" customWidth="1"/>
    <col min="8206" max="8206" width="13.28515625" style="168" bestFit="1" customWidth="1"/>
    <col min="8207" max="8207" width="11.42578125" style="168" customWidth="1"/>
    <col min="8208" max="8441" width="9.28515625" style="168"/>
    <col min="8442" max="8442" width="7.7109375" style="168" customWidth="1"/>
    <col min="8443" max="8443" width="59.42578125" style="168" customWidth="1"/>
    <col min="8444" max="8444" width="14.5703125" style="168" bestFit="1" customWidth="1"/>
    <col min="8445" max="8445" width="9.140625" style="168" customWidth="1"/>
    <col min="8446" max="8448" width="0" style="168" hidden="1" customWidth="1"/>
    <col min="8449" max="8449" width="6.7109375" style="168" customWidth="1"/>
    <col min="8450" max="8450" width="7.28515625" style="168" customWidth="1"/>
    <col min="8451" max="8451" width="75.7109375" style="168" customWidth="1"/>
    <col min="8452" max="8452" width="18.5703125" style="168" customWidth="1"/>
    <col min="8453" max="8453" width="9.7109375" style="168" customWidth="1"/>
    <col min="8454" max="8454" width="3.28515625" style="168" customWidth="1"/>
    <col min="8455" max="8455" width="6.42578125" style="168" customWidth="1"/>
    <col min="8456" max="8456" width="66.7109375" style="168" customWidth="1"/>
    <col min="8457" max="8457" width="16.7109375" style="168" customWidth="1"/>
    <col min="8458" max="8459" width="9.28515625" style="168"/>
    <col min="8460" max="8460" width="15.5703125" style="168" bestFit="1" customWidth="1"/>
    <col min="8461" max="8461" width="66.42578125" style="168" bestFit="1" customWidth="1"/>
    <col min="8462" max="8462" width="13.28515625" style="168" bestFit="1" customWidth="1"/>
    <col min="8463" max="8463" width="11.42578125" style="168" customWidth="1"/>
    <col min="8464" max="8697" width="9.28515625" style="168"/>
    <col min="8698" max="8698" width="7.7109375" style="168" customWidth="1"/>
    <col min="8699" max="8699" width="59.42578125" style="168" customWidth="1"/>
    <col min="8700" max="8700" width="14.5703125" style="168" bestFit="1" customWidth="1"/>
    <col min="8701" max="8701" width="9.140625" style="168" customWidth="1"/>
    <col min="8702" max="8704" width="0" style="168" hidden="1" customWidth="1"/>
    <col min="8705" max="8705" width="6.7109375" style="168" customWidth="1"/>
    <col min="8706" max="8706" width="7.28515625" style="168" customWidth="1"/>
    <col min="8707" max="8707" width="75.7109375" style="168" customWidth="1"/>
    <col min="8708" max="8708" width="18.5703125" style="168" customWidth="1"/>
    <col min="8709" max="8709" width="9.7109375" style="168" customWidth="1"/>
    <col min="8710" max="8710" width="3.28515625" style="168" customWidth="1"/>
    <col min="8711" max="8711" width="6.42578125" style="168" customWidth="1"/>
    <col min="8712" max="8712" width="66.7109375" style="168" customWidth="1"/>
    <col min="8713" max="8713" width="16.7109375" style="168" customWidth="1"/>
    <col min="8714" max="8715" width="9.28515625" style="168"/>
    <col min="8716" max="8716" width="15.5703125" style="168" bestFit="1" customWidth="1"/>
    <col min="8717" max="8717" width="66.42578125" style="168" bestFit="1" customWidth="1"/>
    <col min="8718" max="8718" width="13.28515625" style="168" bestFit="1" customWidth="1"/>
    <col min="8719" max="8719" width="11.42578125" style="168" customWidth="1"/>
    <col min="8720" max="8953" width="9.28515625" style="168"/>
    <col min="8954" max="8954" width="7.7109375" style="168" customWidth="1"/>
    <col min="8955" max="8955" width="59.42578125" style="168" customWidth="1"/>
    <col min="8956" max="8956" width="14.5703125" style="168" bestFit="1" customWidth="1"/>
    <col min="8957" max="8957" width="9.140625" style="168" customWidth="1"/>
    <col min="8958" max="8960" width="0" style="168" hidden="1" customWidth="1"/>
    <col min="8961" max="8961" width="6.7109375" style="168" customWidth="1"/>
    <col min="8962" max="8962" width="7.28515625" style="168" customWidth="1"/>
    <col min="8963" max="8963" width="75.7109375" style="168" customWidth="1"/>
    <col min="8964" max="8964" width="18.5703125" style="168" customWidth="1"/>
    <col min="8965" max="8965" width="9.7109375" style="168" customWidth="1"/>
    <col min="8966" max="8966" width="3.28515625" style="168" customWidth="1"/>
    <col min="8967" max="8967" width="6.42578125" style="168" customWidth="1"/>
    <col min="8968" max="8968" width="66.7109375" style="168" customWidth="1"/>
    <col min="8969" max="8969" width="16.7109375" style="168" customWidth="1"/>
    <col min="8970" max="8971" width="9.28515625" style="168"/>
    <col min="8972" max="8972" width="15.5703125" style="168" bestFit="1" customWidth="1"/>
    <col min="8973" max="8973" width="66.42578125" style="168" bestFit="1" customWidth="1"/>
    <col min="8974" max="8974" width="13.28515625" style="168" bestFit="1" customWidth="1"/>
    <col min="8975" max="8975" width="11.42578125" style="168" customWidth="1"/>
    <col min="8976" max="9209" width="9.28515625" style="168"/>
    <col min="9210" max="9210" width="7.7109375" style="168" customWidth="1"/>
    <col min="9211" max="9211" width="59.42578125" style="168" customWidth="1"/>
    <col min="9212" max="9212" width="14.5703125" style="168" bestFit="1" customWidth="1"/>
    <col min="9213" max="9213" width="9.140625" style="168" customWidth="1"/>
    <col min="9214" max="9216" width="0" style="168" hidden="1" customWidth="1"/>
    <col min="9217" max="9217" width="6.7109375" style="168" customWidth="1"/>
    <col min="9218" max="9218" width="7.28515625" style="168" customWidth="1"/>
    <col min="9219" max="9219" width="75.7109375" style="168" customWidth="1"/>
    <col min="9220" max="9220" width="18.5703125" style="168" customWidth="1"/>
    <col min="9221" max="9221" width="9.7109375" style="168" customWidth="1"/>
    <col min="9222" max="9222" width="3.28515625" style="168" customWidth="1"/>
    <col min="9223" max="9223" width="6.42578125" style="168" customWidth="1"/>
    <col min="9224" max="9224" width="66.7109375" style="168" customWidth="1"/>
    <col min="9225" max="9225" width="16.7109375" style="168" customWidth="1"/>
    <col min="9226" max="9227" width="9.28515625" style="168"/>
    <col min="9228" max="9228" width="15.5703125" style="168" bestFit="1" customWidth="1"/>
    <col min="9229" max="9229" width="66.42578125" style="168" bestFit="1" customWidth="1"/>
    <col min="9230" max="9230" width="13.28515625" style="168" bestFit="1" customWidth="1"/>
    <col min="9231" max="9231" width="11.42578125" style="168" customWidth="1"/>
    <col min="9232" max="9465" width="9.28515625" style="168"/>
    <col min="9466" max="9466" width="7.7109375" style="168" customWidth="1"/>
    <col min="9467" max="9467" width="59.42578125" style="168" customWidth="1"/>
    <col min="9468" max="9468" width="14.5703125" style="168" bestFit="1" customWidth="1"/>
    <col min="9469" max="9469" width="9.140625" style="168" customWidth="1"/>
    <col min="9470" max="9472" width="0" style="168" hidden="1" customWidth="1"/>
    <col min="9473" max="9473" width="6.7109375" style="168" customWidth="1"/>
    <col min="9474" max="9474" width="7.28515625" style="168" customWidth="1"/>
    <col min="9475" max="9475" width="75.7109375" style="168" customWidth="1"/>
    <col min="9476" max="9476" width="18.5703125" style="168" customWidth="1"/>
    <col min="9477" max="9477" width="9.7109375" style="168" customWidth="1"/>
    <col min="9478" max="9478" width="3.28515625" style="168" customWidth="1"/>
    <col min="9479" max="9479" width="6.42578125" style="168" customWidth="1"/>
    <col min="9480" max="9480" width="66.7109375" style="168" customWidth="1"/>
    <col min="9481" max="9481" width="16.7109375" style="168" customWidth="1"/>
    <col min="9482" max="9483" width="9.28515625" style="168"/>
    <col min="9484" max="9484" width="15.5703125" style="168" bestFit="1" customWidth="1"/>
    <col min="9485" max="9485" width="66.42578125" style="168" bestFit="1" customWidth="1"/>
    <col min="9486" max="9486" width="13.28515625" style="168" bestFit="1" customWidth="1"/>
    <col min="9487" max="9487" width="11.42578125" style="168" customWidth="1"/>
    <col min="9488" max="9721" width="9.28515625" style="168"/>
    <col min="9722" max="9722" width="7.7109375" style="168" customWidth="1"/>
    <col min="9723" max="9723" width="59.42578125" style="168" customWidth="1"/>
    <col min="9724" max="9724" width="14.5703125" style="168" bestFit="1" customWidth="1"/>
    <col min="9725" max="9725" width="9.140625" style="168" customWidth="1"/>
    <col min="9726" max="9728" width="0" style="168" hidden="1" customWidth="1"/>
    <col min="9729" max="9729" width="6.7109375" style="168" customWidth="1"/>
    <col min="9730" max="9730" width="7.28515625" style="168" customWidth="1"/>
    <col min="9731" max="9731" width="75.7109375" style="168" customWidth="1"/>
    <col min="9732" max="9732" width="18.5703125" style="168" customWidth="1"/>
    <col min="9733" max="9733" width="9.7109375" style="168" customWidth="1"/>
    <col min="9734" max="9734" width="3.28515625" style="168" customWidth="1"/>
    <col min="9735" max="9735" width="6.42578125" style="168" customWidth="1"/>
    <col min="9736" max="9736" width="66.7109375" style="168" customWidth="1"/>
    <col min="9737" max="9737" width="16.7109375" style="168" customWidth="1"/>
    <col min="9738" max="9739" width="9.28515625" style="168"/>
    <col min="9740" max="9740" width="15.5703125" style="168" bestFit="1" customWidth="1"/>
    <col min="9741" max="9741" width="66.42578125" style="168" bestFit="1" customWidth="1"/>
    <col min="9742" max="9742" width="13.28515625" style="168" bestFit="1" customWidth="1"/>
    <col min="9743" max="9743" width="11.42578125" style="168" customWidth="1"/>
    <col min="9744" max="9977" width="9.28515625" style="168"/>
    <col min="9978" max="9978" width="7.7109375" style="168" customWidth="1"/>
    <col min="9979" max="9979" width="59.42578125" style="168" customWidth="1"/>
    <col min="9980" max="9980" width="14.5703125" style="168" bestFit="1" customWidth="1"/>
    <col min="9981" max="9981" width="9.140625" style="168" customWidth="1"/>
    <col min="9982" max="9984" width="0" style="168" hidden="1" customWidth="1"/>
    <col min="9985" max="9985" width="6.7109375" style="168" customWidth="1"/>
    <col min="9986" max="9986" width="7.28515625" style="168" customWidth="1"/>
    <col min="9987" max="9987" width="75.7109375" style="168" customWidth="1"/>
    <col min="9988" max="9988" width="18.5703125" style="168" customWidth="1"/>
    <col min="9989" max="9989" width="9.7109375" style="168" customWidth="1"/>
    <col min="9990" max="9990" width="3.28515625" style="168" customWidth="1"/>
    <col min="9991" max="9991" width="6.42578125" style="168" customWidth="1"/>
    <col min="9992" max="9992" width="66.7109375" style="168" customWidth="1"/>
    <col min="9993" max="9993" width="16.7109375" style="168" customWidth="1"/>
    <col min="9994" max="9995" width="9.28515625" style="168"/>
    <col min="9996" max="9996" width="15.5703125" style="168" bestFit="1" customWidth="1"/>
    <col min="9997" max="9997" width="66.42578125" style="168" bestFit="1" customWidth="1"/>
    <col min="9998" max="9998" width="13.28515625" style="168" bestFit="1" customWidth="1"/>
    <col min="9999" max="9999" width="11.42578125" style="168" customWidth="1"/>
    <col min="10000" max="10233" width="9.28515625" style="168"/>
    <col min="10234" max="10234" width="7.7109375" style="168" customWidth="1"/>
    <col min="10235" max="10235" width="59.42578125" style="168" customWidth="1"/>
    <col min="10236" max="10236" width="14.5703125" style="168" bestFit="1" customWidth="1"/>
    <col min="10237" max="10237" width="9.140625" style="168" customWidth="1"/>
    <col min="10238" max="10240" width="0" style="168" hidden="1" customWidth="1"/>
    <col min="10241" max="10241" width="6.7109375" style="168" customWidth="1"/>
    <col min="10242" max="10242" width="7.28515625" style="168" customWidth="1"/>
    <col min="10243" max="10243" width="75.7109375" style="168" customWidth="1"/>
    <col min="10244" max="10244" width="18.5703125" style="168" customWidth="1"/>
    <col min="10245" max="10245" width="9.7109375" style="168" customWidth="1"/>
    <col min="10246" max="10246" width="3.28515625" style="168" customWidth="1"/>
    <col min="10247" max="10247" width="6.42578125" style="168" customWidth="1"/>
    <col min="10248" max="10248" width="66.7109375" style="168" customWidth="1"/>
    <col min="10249" max="10249" width="16.7109375" style="168" customWidth="1"/>
    <col min="10250" max="10251" width="9.28515625" style="168"/>
    <col min="10252" max="10252" width="15.5703125" style="168" bestFit="1" customWidth="1"/>
    <col min="10253" max="10253" width="66.42578125" style="168" bestFit="1" customWidth="1"/>
    <col min="10254" max="10254" width="13.28515625" style="168" bestFit="1" customWidth="1"/>
    <col min="10255" max="10255" width="11.42578125" style="168" customWidth="1"/>
    <col min="10256" max="10489" width="9.28515625" style="168"/>
    <col min="10490" max="10490" width="7.7109375" style="168" customWidth="1"/>
    <col min="10491" max="10491" width="59.42578125" style="168" customWidth="1"/>
    <col min="10492" max="10492" width="14.5703125" style="168" bestFit="1" customWidth="1"/>
    <col min="10493" max="10493" width="9.140625" style="168" customWidth="1"/>
    <col min="10494" max="10496" width="0" style="168" hidden="1" customWidth="1"/>
    <col min="10497" max="10497" width="6.7109375" style="168" customWidth="1"/>
    <col min="10498" max="10498" width="7.28515625" style="168" customWidth="1"/>
    <col min="10499" max="10499" width="75.7109375" style="168" customWidth="1"/>
    <col min="10500" max="10500" width="18.5703125" style="168" customWidth="1"/>
    <col min="10501" max="10501" width="9.7109375" style="168" customWidth="1"/>
    <col min="10502" max="10502" width="3.28515625" style="168" customWidth="1"/>
    <col min="10503" max="10503" width="6.42578125" style="168" customWidth="1"/>
    <col min="10504" max="10504" width="66.7109375" style="168" customWidth="1"/>
    <col min="10505" max="10505" width="16.7109375" style="168" customWidth="1"/>
    <col min="10506" max="10507" width="9.28515625" style="168"/>
    <col min="10508" max="10508" width="15.5703125" style="168" bestFit="1" customWidth="1"/>
    <col min="10509" max="10509" width="66.42578125" style="168" bestFit="1" customWidth="1"/>
    <col min="10510" max="10510" width="13.28515625" style="168" bestFit="1" customWidth="1"/>
    <col min="10511" max="10511" width="11.42578125" style="168" customWidth="1"/>
    <col min="10512" max="10745" width="9.28515625" style="168"/>
    <col min="10746" max="10746" width="7.7109375" style="168" customWidth="1"/>
    <col min="10747" max="10747" width="59.42578125" style="168" customWidth="1"/>
    <col min="10748" max="10748" width="14.5703125" style="168" bestFit="1" customWidth="1"/>
    <col min="10749" max="10749" width="9.140625" style="168" customWidth="1"/>
    <col min="10750" max="10752" width="0" style="168" hidden="1" customWidth="1"/>
    <col min="10753" max="10753" width="6.7109375" style="168" customWidth="1"/>
    <col min="10754" max="10754" width="7.28515625" style="168" customWidth="1"/>
    <col min="10755" max="10755" width="75.7109375" style="168" customWidth="1"/>
    <col min="10756" max="10756" width="18.5703125" style="168" customWidth="1"/>
    <col min="10757" max="10757" width="9.7109375" style="168" customWidth="1"/>
    <col min="10758" max="10758" width="3.28515625" style="168" customWidth="1"/>
    <col min="10759" max="10759" width="6.42578125" style="168" customWidth="1"/>
    <col min="10760" max="10760" width="66.7109375" style="168" customWidth="1"/>
    <col min="10761" max="10761" width="16.7109375" style="168" customWidth="1"/>
    <col min="10762" max="10763" width="9.28515625" style="168"/>
    <col min="10764" max="10764" width="15.5703125" style="168" bestFit="1" customWidth="1"/>
    <col min="10765" max="10765" width="66.42578125" style="168" bestFit="1" customWidth="1"/>
    <col min="10766" max="10766" width="13.28515625" style="168" bestFit="1" customWidth="1"/>
    <col min="10767" max="10767" width="11.42578125" style="168" customWidth="1"/>
    <col min="10768" max="11001" width="9.28515625" style="168"/>
    <col min="11002" max="11002" width="7.7109375" style="168" customWidth="1"/>
    <col min="11003" max="11003" width="59.42578125" style="168" customWidth="1"/>
    <col min="11004" max="11004" width="14.5703125" style="168" bestFit="1" customWidth="1"/>
    <col min="11005" max="11005" width="9.140625" style="168" customWidth="1"/>
    <col min="11006" max="11008" width="0" style="168" hidden="1" customWidth="1"/>
    <col min="11009" max="11009" width="6.7109375" style="168" customWidth="1"/>
    <col min="11010" max="11010" width="7.28515625" style="168" customWidth="1"/>
    <col min="11011" max="11011" width="75.7109375" style="168" customWidth="1"/>
    <col min="11012" max="11012" width="18.5703125" style="168" customWidth="1"/>
    <col min="11013" max="11013" width="9.7109375" style="168" customWidth="1"/>
    <col min="11014" max="11014" width="3.28515625" style="168" customWidth="1"/>
    <col min="11015" max="11015" width="6.42578125" style="168" customWidth="1"/>
    <col min="11016" max="11016" width="66.7109375" style="168" customWidth="1"/>
    <col min="11017" max="11017" width="16.7109375" style="168" customWidth="1"/>
    <col min="11018" max="11019" width="9.28515625" style="168"/>
    <col min="11020" max="11020" width="15.5703125" style="168" bestFit="1" customWidth="1"/>
    <col min="11021" max="11021" width="66.42578125" style="168" bestFit="1" customWidth="1"/>
    <col min="11022" max="11022" width="13.28515625" style="168" bestFit="1" customWidth="1"/>
    <col min="11023" max="11023" width="11.42578125" style="168" customWidth="1"/>
    <col min="11024" max="11257" width="9.28515625" style="168"/>
    <col min="11258" max="11258" width="7.7109375" style="168" customWidth="1"/>
    <col min="11259" max="11259" width="59.42578125" style="168" customWidth="1"/>
    <col min="11260" max="11260" width="14.5703125" style="168" bestFit="1" customWidth="1"/>
    <col min="11261" max="11261" width="9.140625" style="168" customWidth="1"/>
    <col min="11262" max="11264" width="0" style="168" hidden="1" customWidth="1"/>
    <col min="11265" max="11265" width="6.7109375" style="168" customWidth="1"/>
    <col min="11266" max="11266" width="7.28515625" style="168" customWidth="1"/>
    <col min="11267" max="11267" width="75.7109375" style="168" customWidth="1"/>
    <col min="11268" max="11268" width="18.5703125" style="168" customWidth="1"/>
    <col min="11269" max="11269" width="9.7109375" style="168" customWidth="1"/>
    <col min="11270" max="11270" width="3.28515625" style="168" customWidth="1"/>
    <col min="11271" max="11271" width="6.42578125" style="168" customWidth="1"/>
    <col min="11272" max="11272" width="66.7109375" style="168" customWidth="1"/>
    <col min="11273" max="11273" width="16.7109375" style="168" customWidth="1"/>
    <col min="11274" max="11275" width="9.28515625" style="168"/>
    <col min="11276" max="11276" width="15.5703125" style="168" bestFit="1" customWidth="1"/>
    <col min="11277" max="11277" width="66.42578125" style="168" bestFit="1" customWidth="1"/>
    <col min="11278" max="11278" width="13.28515625" style="168" bestFit="1" customWidth="1"/>
    <col min="11279" max="11279" width="11.42578125" style="168" customWidth="1"/>
    <col min="11280" max="11513" width="9.28515625" style="168"/>
    <col min="11514" max="11514" width="7.7109375" style="168" customWidth="1"/>
    <col min="11515" max="11515" width="59.42578125" style="168" customWidth="1"/>
    <col min="11516" max="11516" width="14.5703125" style="168" bestFit="1" customWidth="1"/>
    <col min="11517" max="11517" width="9.140625" style="168" customWidth="1"/>
    <col min="11518" max="11520" width="0" style="168" hidden="1" customWidth="1"/>
    <col min="11521" max="11521" width="6.7109375" style="168" customWidth="1"/>
    <col min="11522" max="11522" width="7.28515625" style="168" customWidth="1"/>
    <col min="11523" max="11523" width="75.7109375" style="168" customWidth="1"/>
    <col min="11524" max="11524" width="18.5703125" style="168" customWidth="1"/>
    <col min="11525" max="11525" width="9.7109375" style="168" customWidth="1"/>
    <col min="11526" max="11526" width="3.28515625" style="168" customWidth="1"/>
    <col min="11527" max="11527" width="6.42578125" style="168" customWidth="1"/>
    <col min="11528" max="11528" width="66.7109375" style="168" customWidth="1"/>
    <col min="11529" max="11529" width="16.7109375" style="168" customWidth="1"/>
    <col min="11530" max="11531" width="9.28515625" style="168"/>
    <col min="11532" max="11532" width="15.5703125" style="168" bestFit="1" customWidth="1"/>
    <col min="11533" max="11533" width="66.42578125" style="168" bestFit="1" customWidth="1"/>
    <col min="11534" max="11534" width="13.28515625" style="168" bestFit="1" customWidth="1"/>
    <col min="11535" max="11535" width="11.42578125" style="168" customWidth="1"/>
    <col min="11536" max="11769" width="9.28515625" style="168"/>
    <col min="11770" max="11770" width="7.7109375" style="168" customWidth="1"/>
    <col min="11771" max="11771" width="59.42578125" style="168" customWidth="1"/>
    <col min="11772" max="11772" width="14.5703125" style="168" bestFit="1" customWidth="1"/>
    <col min="11773" max="11773" width="9.140625" style="168" customWidth="1"/>
    <col min="11774" max="11776" width="0" style="168" hidden="1" customWidth="1"/>
    <col min="11777" max="11777" width="6.7109375" style="168" customWidth="1"/>
    <col min="11778" max="11778" width="7.28515625" style="168" customWidth="1"/>
    <col min="11779" max="11779" width="75.7109375" style="168" customWidth="1"/>
    <col min="11780" max="11780" width="18.5703125" style="168" customWidth="1"/>
    <col min="11781" max="11781" width="9.7109375" style="168" customWidth="1"/>
    <col min="11782" max="11782" width="3.28515625" style="168" customWidth="1"/>
    <col min="11783" max="11783" width="6.42578125" style="168" customWidth="1"/>
    <col min="11784" max="11784" width="66.7109375" style="168" customWidth="1"/>
    <col min="11785" max="11785" width="16.7109375" style="168" customWidth="1"/>
    <col min="11786" max="11787" width="9.28515625" style="168"/>
    <col min="11788" max="11788" width="15.5703125" style="168" bestFit="1" customWidth="1"/>
    <col min="11789" max="11789" width="66.42578125" style="168" bestFit="1" customWidth="1"/>
    <col min="11790" max="11790" width="13.28515625" style="168" bestFit="1" customWidth="1"/>
    <col min="11791" max="11791" width="11.42578125" style="168" customWidth="1"/>
    <col min="11792" max="12025" width="9.28515625" style="168"/>
    <col min="12026" max="12026" width="7.7109375" style="168" customWidth="1"/>
    <col min="12027" max="12027" width="59.42578125" style="168" customWidth="1"/>
    <col min="12028" max="12028" width="14.5703125" style="168" bestFit="1" customWidth="1"/>
    <col min="12029" max="12029" width="9.140625" style="168" customWidth="1"/>
    <col min="12030" max="12032" width="0" style="168" hidden="1" customWidth="1"/>
    <col min="12033" max="12033" width="6.7109375" style="168" customWidth="1"/>
    <col min="12034" max="12034" width="7.28515625" style="168" customWidth="1"/>
    <col min="12035" max="12035" width="75.7109375" style="168" customWidth="1"/>
    <col min="12036" max="12036" width="18.5703125" style="168" customWidth="1"/>
    <col min="12037" max="12037" width="9.7109375" style="168" customWidth="1"/>
    <col min="12038" max="12038" width="3.28515625" style="168" customWidth="1"/>
    <col min="12039" max="12039" width="6.42578125" style="168" customWidth="1"/>
    <col min="12040" max="12040" width="66.7109375" style="168" customWidth="1"/>
    <col min="12041" max="12041" width="16.7109375" style="168" customWidth="1"/>
    <col min="12042" max="12043" width="9.28515625" style="168"/>
    <col min="12044" max="12044" width="15.5703125" style="168" bestFit="1" customWidth="1"/>
    <col min="12045" max="12045" width="66.42578125" style="168" bestFit="1" customWidth="1"/>
    <col min="12046" max="12046" width="13.28515625" style="168" bestFit="1" customWidth="1"/>
    <col min="12047" max="12047" width="11.42578125" style="168" customWidth="1"/>
    <col min="12048" max="12281" width="9.28515625" style="168"/>
    <col min="12282" max="12282" width="7.7109375" style="168" customWidth="1"/>
    <col min="12283" max="12283" width="59.42578125" style="168" customWidth="1"/>
    <col min="12284" max="12284" width="14.5703125" style="168" bestFit="1" customWidth="1"/>
    <col min="12285" max="12285" width="9.140625" style="168" customWidth="1"/>
    <col min="12286" max="12288" width="0" style="168" hidden="1" customWidth="1"/>
    <col min="12289" max="12289" width="6.7109375" style="168" customWidth="1"/>
    <col min="12290" max="12290" width="7.28515625" style="168" customWidth="1"/>
    <col min="12291" max="12291" width="75.7109375" style="168" customWidth="1"/>
    <col min="12292" max="12292" width="18.5703125" style="168" customWidth="1"/>
    <col min="12293" max="12293" width="9.7109375" style="168" customWidth="1"/>
    <col min="12294" max="12294" width="3.28515625" style="168" customWidth="1"/>
    <col min="12295" max="12295" width="6.42578125" style="168" customWidth="1"/>
    <col min="12296" max="12296" width="66.7109375" style="168" customWidth="1"/>
    <col min="12297" max="12297" width="16.7109375" style="168" customWidth="1"/>
    <col min="12298" max="12299" width="9.28515625" style="168"/>
    <col min="12300" max="12300" width="15.5703125" style="168" bestFit="1" customWidth="1"/>
    <col min="12301" max="12301" width="66.42578125" style="168" bestFit="1" customWidth="1"/>
    <col min="12302" max="12302" width="13.28515625" style="168" bestFit="1" customWidth="1"/>
    <col min="12303" max="12303" width="11.42578125" style="168" customWidth="1"/>
    <col min="12304" max="12537" width="9.28515625" style="168"/>
    <col min="12538" max="12538" width="7.7109375" style="168" customWidth="1"/>
    <col min="12539" max="12539" width="59.42578125" style="168" customWidth="1"/>
    <col min="12540" max="12540" width="14.5703125" style="168" bestFit="1" customWidth="1"/>
    <col min="12541" max="12541" width="9.140625" style="168" customWidth="1"/>
    <col min="12542" max="12544" width="0" style="168" hidden="1" customWidth="1"/>
    <col min="12545" max="12545" width="6.7109375" style="168" customWidth="1"/>
    <col min="12546" max="12546" width="7.28515625" style="168" customWidth="1"/>
    <col min="12547" max="12547" width="75.7109375" style="168" customWidth="1"/>
    <col min="12548" max="12548" width="18.5703125" style="168" customWidth="1"/>
    <col min="12549" max="12549" width="9.7109375" style="168" customWidth="1"/>
    <col min="12550" max="12550" width="3.28515625" style="168" customWidth="1"/>
    <col min="12551" max="12551" width="6.42578125" style="168" customWidth="1"/>
    <col min="12552" max="12552" width="66.7109375" style="168" customWidth="1"/>
    <col min="12553" max="12553" width="16.7109375" style="168" customWidth="1"/>
    <col min="12554" max="12555" width="9.28515625" style="168"/>
    <col min="12556" max="12556" width="15.5703125" style="168" bestFit="1" customWidth="1"/>
    <col min="12557" max="12557" width="66.42578125" style="168" bestFit="1" customWidth="1"/>
    <col min="12558" max="12558" width="13.28515625" style="168" bestFit="1" customWidth="1"/>
    <col min="12559" max="12559" width="11.42578125" style="168" customWidth="1"/>
    <col min="12560" max="12793" width="9.28515625" style="168"/>
    <col min="12794" max="12794" width="7.7109375" style="168" customWidth="1"/>
    <col min="12795" max="12795" width="59.42578125" style="168" customWidth="1"/>
    <col min="12796" max="12796" width="14.5703125" style="168" bestFit="1" customWidth="1"/>
    <col min="12797" max="12797" width="9.140625" style="168" customWidth="1"/>
    <col min="12798" max="12800" width="0" style="168" hidden="1" customWidth="1"/>
    <col min="12801" max="12801" width="6.7109375" style="168" customWidth="1"/>
    <col min="12802" max="12802" width="7.28515625" style="168" customWidth="1"/>
    <col min="12803" max="12803" width="75.7109375" style="168" customWidth="1"/>
    <col min="12804" max="12804" width="18.5703125" style="168" customWidth="1"/>
    <col min="12805" max="12805" width="9.7109375" style="168" customWidth="1"/>
    <col min="12806" max="12806" width="3.28515625" style="168" customWidth="1"/>
    <col min="12807" max="12807" width="6.42578125" style="168" customWidth="1"/>
    <col min="12808" max="12808" width="66.7109375" style="168" customWidth="1"/>
    <col min="12809" max="12809" width="16.7109375" style="168" customWidth="1"/>
    <col min="12810" max="12811" width="9.28515625" style="168"/>
    <col min="12812" max="12812" width="15.5703125" style="168" bestFit="1" customWidth="1"/>
    <col min="12813" max="12813" width="66.42578125" style="168" bestFit="1" customWidth="1"/>
    <col min="12814" max="12814" width="13.28515625" style="168" bestFit="1" customWidth="1"/>
    <col min="12815" max="12815" width="11.42578125" style="168" customWidth="1"/>
    <col min="12816" max="13049" width="9.28515625" style="168"/>
    <col min="13050" max="13050" width="7.7109375" style="168" customWidth="1"/>
    <col min="13051" max="13051" width="59.42578125" style="168" customWidth="1"/>
    <col min="13052" max="13052" width="14.5703125" style="168" bestFit="1" customWidth="1"/>
    <col min="13053" max="13053" width="9.140625" style="168" customWidth="1"/>
    <col min="13054" max="13056" width="0" style="168" hidden="1" customWidth="1"/>
    <col min="13057" max="13057" width="6.7109375" style="168" customWidth="1"/>
    <col min="13058" max="13058" width="7.28515625" style="168" customWidth="1"/>
    <col min="13059" max="13059" width="75.7109375" style="168" customWidth="1"/>
    <col min="13060" max="13060" width="18.5703125" style="168" customWidth="1"/>
    <col min="13061" max="13061" width="9.7109375" style="168" customWidth="1"/>
    <col min="13062" max="13062" width="3.28515625" style="168" customWidth="1"/>
    <col min="13063" max="13063" width="6.42578125" style="168" customWidth="1"/>
    <col min="13064" max="13064" width="66.7109375" style="168" customWidth="1"/>
    <col min="13065" max="13065" width="16.7109375" style="168" customWidth="1"/>
    <col min="13066" max="13067" width="9.28515625" style="168"/>
    <col min="13068" max="13068" width="15.5703125" style="168" bestFit="1" customWidth="1"/>
    <col min="13069" max="13069" width="66.42578125" style="168" bestFit="1" customWidth="1"/>
    <col min="13070" max="13070" width="13.28515625" style="168" bestFit="1" customWidth="1"/>
    <col min="13071" max="13071" width="11.42578125" style="168" customWidth="1"/>
    <col min="13072" max="13305" width="9.28515625" style="168"/>
    <col min="13306" max="13306" width="7.7109375" style="168" customWidth="1"/>
    <col min="13307" max="13307" width="59.42578125" style="168" customWidth="1"/>
    <col min="13308" max="13308" width="14.5703125" style="168" bestFit="1" customWidth="1"/>
    <col min="13309" max="13309" width="9.140625" style="168" customWidth="1"/>
    <col min="13310" max="13312" width="0" style="168" hidden="1" customWidth="1"/>
    <col min="13313" max="13313" width="6.7109375" style="168" customWidth="1"/>
    <col min="13314" max="13314" width="7.28515625" style="168" customWidth="1"/>
    <col min="13315" max="13315" width="75.7109375" style="168" customWidth="1"/>
    <col min="13316" max="13316" width="18.5703125" style="168" customWidth="1"/>
    <col min="13317" max="13317" width="9.7109375" style="168" customWidth="1"/>
    <col min="13318" max="13318" width="3.28515625" style="168" customWidth="1"/>
    <col min="13319" max="13319" width="6.42578125" style="168" customWidth="1"/>
    <col min="13320" max="13320" width="66.7109375" style="168" customWidth="1"/>
    <col min="13321" max="13321" width="16.7109375" style="168" customWidth="1"/>
    <col min="13322" max="13323" width="9.28515625" style="168"/>
    <col min="13324" max="13324" width="15.5703125" style="168" bestFit="1" customWidth="1"/>
    <col min="13325" max="13325" width="66.42578125" style="168" bestFit="1" customWidth="1"/>
    <col min="13326" max="13326" width="13.28515625" style="168" bestFit="1" customWidth="1"/>
    <col min="13327" max="13327" width="11.42578125" style="168" customWidth="1"/>
    <col min="13328" max="13561" width="9.28515625" style="168"/>
    <col min="13562" max="13562" width="7.7109375" style="168" customWidth="1"/>
    <col min="13563" max="13563" width="59.42578125" style="168" customWidth="1"/>
    <col min="13564" max="13564" width="14.5703125" style="168" bestFit="1" customWidth="1"/>
    <col min="13565" max="13565" width="9.140625" style="168" customWidth="1"/>
    <col min="13566" max="13568" width="0" style="168" hidden="1" customWidth="1"/>
    <col min="13569" max="13569" width="6.7109375" style="168" customWidth="1"/>
    <col min="13570" max="13570" width="7.28515625" style="168" customWidth="1"/>
    <col min="13571" max="13571" width="75.7109375" style="168" customWidth="1"/>
    <col min="13572" max="13572" width="18.5703125" style="168" customWidth="1"/>
    <col min="13573" max="13573" width="9.7109375" style="168" customWidth="1"/>
    <col min="13574" max="13574" width="3.28515625" style="168" customWidth="1"/>
    <col min="13575" max="13575" width="6.42578125" style="168" customWidth="1"/>
    <col min="13576" max="13576" width="66.7109375" style="168" customWidth="1"/>
    <col min="13577" max="13577" width="16.7109375" style="168" customWidth="1"/>
    <col min="13578" max="13579" width="9.28515625" style="168"/>
    <col min="13580" max="13580" width="15.5703125" style="168" bestFit="1" customWidth="1"/>
    <col min="13581" max="13581" width="66.42578125" style="168" bestFit="1" customWidth="1"/>
    <col min="13582" max="13582" width="13.28515625" style="168" bestFit="1" customWidth="1"/>
    <col min="13583" max="13583" width="11.42578125" style="168" customWidth="1"/>
    <col min="13584" max="13817" width="9.28515625" style="168"/>
    <col min="13818" max="13818" width="7.7109375" style="168" customWidth="1"/>
    <col min="13819" max="13819" width="59.42578125" style="168" customWidth="1"/>
    <col min="13820" max="13820" width="14.5703125" style="168" bestFit="1" customWidth="1"/>
    <col min="13821" max="13821" width="9.140625" style="168" customWidth="1"/>
    <col min="13822" max="13824" width="0" style="168" hidden="1" customWidth="1"/>
    <col min="13825" max="13825" width="6.7109375" style="168" customWidth="1"/>
    <col min="13826" max="13826" width="7.28515625" style="168" customWidth="1"/>
    <col min="13827" max="13827" width="75.7109375" style="168" customWidth="1"/>
    <col min="13828" max="13828" width="18.5703125" style="168" customWidth="1"/>
    <col min="13829" max="13829" width="9.7109375" style="168" customWidth="1"/>
    <col min="13830" max="13830" width="3.28515625" style="168" customWidth="1"/>
    <col min="13831" max="13831" width="6.42578125" style="168" customWidth="1"/>
    <col min="13832" max="13832" width="66.7109375" style="168" customWidth="1"/>
    <col min="13833" max="13833" width="16.7109375" style="168" customWidth="1"/>
    <col min="13834" max="13835" width="9.28515625" style="168"/>
    <col min="13836" max="13836" width="15.5703125" style="168" bestFit="1" customWidth="1"/>
    <col min="13837" max="13837" width="66.42578125" style="168" bestFit="1" customWidth="1"/>
    <col min="13838" max="13838" width="13.28515625" style="168" bestFit="1" customWidth="1"/>
    <col min="13839" max="13839" width="11.42578125" style="168" customWidth="1"/>
    <col min="13840" max="14073" width="9.28515625" style="168"/>
    <col min="14074" max="14074" width="7.7109375" style="168" customWidth="1"/>
    <col min="14075" max="14075" width="59.42578125" style="168" customWidth="1"/>
    <col min="14076" max="14076" width="14.5703125" style="168" bestFit="1" customWidth="1"/>
    <col min="14077" max="14077" width="9.140625" style="168" customWidth="1"/>
    <col min="14078" max="14080" width="0" style="168" hidden="1" customWidth="1"/>
    <col min="14081" max="14081" width="6.7109375" style="168" customWidth="1"/>
    <col min="14082" max="14082" width="7.28515625" style="168" customWidth="1"/>
    <col min="14083" max="14083" width="75.7109375" style="168" customWidth="1"/>
    <col min="14084" max="14084" width="18.5703125" style="168" customWidth="1"/>
    <col min="14085" max="14085" width="9.7109375" style="168" customWidth="1"/>
    <col min="14086" max="14086" width="3.28515625" style="168" customWidth="1"/>
    <col min="14087" max="14087" width="6.42578125" style="168" customWidth="1"/>
    <col min="14088" max="14088" width="66.7109375" style="168" customWidth="1"/>
    <col min="14089" max="14089" width="16.7109375" style="168" customWidth="1"/>
    <col min="14090" max="14091" width="9.28515625" style="168"/>
    <col min="14092" max="14092" width="15.5703125" style="168" bestFit="1" customWidth="1"/>
    <col min="14093" max="14093" width="66.42578125" style="168" bestFit="1" customWidth="1"/>
    <col min="14094" max="14094" width="13.28515625" style="168" bestFit="1" customWidth="1"/>
    <col min="14095" max="14095" width="11.42578125" style="168" customWidth="1"/>
    <col min="14096" max="14329" width="9.28515625" style="168"/>
    <col min="14330" max="14330" width="7.7109375" style="168" customWidth="1"/>
    <col min="14331" max="14331" width="59.42578125" style="168" customWidth="1"/>
    <col min="14332" max="14332" width="14.5703125" style="168" bestFit="1" customWidth="1"/>
    <col min="14333" max="14333" width="9.140625" style="168" customWidth="1"/>
    <col min="14334" max="14336" width="0" style="168" hidden="1" customWidth="1"/>
    <col min="14337" max="14337" width="6.7109375" style="168" customWidth="1"/>
    <col min="14338" max="14338" width="7.28515625" style="168" customWidth="1"/>
    <col min="14339" max="14339" width="75.7109375" style="168" customWidth="1"/>
    <col min="14340" max="14340" width="18.5703125" style="168" customWidth="1"/>
    <col min="14341" max="14341" width="9.7109375" style="168" customWidth="1"/>
    <col min="14342" max="14342" width="3.28515625" style="168" customWidth="1"/>
    <col min="14343" max="14343" width="6.42578125" style="168" customWidth="1"/>
    <col min="14344" max="14344" width="66.7109375" style="168" customWidth="1"/>
    <col min="14345" max="14345" width="16.7109375" style="168" customWidth="1"/>
    <col min="14346" max="14347" width="9.28515625" style="168"/>
    <col min="14348" max="14348" width="15.5703125" style="168" bestFit="1" customWidth="1"/>
    <col min="14349" max="14349" width="66.42578125" style="168" bestFit="1" customWidth="1"/>
    <col min="14350" max="14350" width="13.28515625" style="168" bestFit="1" customWidth="1"/>
    <col min="14351" max="14351" width="11.42578125" style="168" customWidth="1"/>
    <col min="14352" max="14585" width="9.28515625" style="168"/>
    <col min="14586" max="14586" width="7.7109375" style="168" customWidth="1"/>
    <col min="14587" max="14587" width="59.42578125" style="168" customWidth="1"/>
    <col min="14588" max="14588" width="14.5703125" style="168" bestFit="1" customWidth="1"/>
    <col min="14589" max="14589" width="9.140625" style="168" customWidth="1"/>
    <col min="14590" max="14592" width="0" style="168" hidden="1" customWidth="1"/>
    <col min="14593" max="14593" width="6.7109375" style="168" customWidth="1"/>
    <col min="14594" max="14594" width="7.28515625" style="168" customWidth="1"/>
    <col min="14595" max="14595" width="75.7109375" style="168" customWidth="1"/>
    <col min="14596" max="14596" width="18.5703125" style="168" customWidth="1"/>
    <col min="14597" max="14597" width="9.7109375" style="168" customWidth="1"/>
    <col min="14598" max="14598" width="3.28515625" style="168" customWidth="1"/>
    <col min="14599" max="14599" width="6.42578125" style="168" customWidth="1"/>
    <col min="14600" max="14600" width="66.7109375" style="168" customWidth="1"/>
    <col min="14601" max="14601" width="16.7109375" style="168" customWidth="1"/>
    <col min="14602" max="14603" width="9.28515625" style="168"/>
    <col min="14604" max="14604" width="15.5703125" style="168" bestFit="1" customWidth="1"/>
    <col min="14605" max="14605" width="66.42578125" style="168" bestFit="1" customWidth="1"/>
    <col min="14606" max="14606" width="13.28515625" style="168" bestFit="1" customWidth="1"/>
    <col min="14607" max="14607" width="11.42578125" style="168" customWidth="1"/>
    <col min="14608" max="14841" width="9.28515625" style="168"/>
    <col min="14842" max="14842" width="7.7109375" style="168" customWidth="1"/>
    <col min="14843" max="14843" width="59.42578125" style="168" customWidth="1"/>
    <col min="14844" max="14844" width="14.5703125" style="168" bestFit="1" customWidth="1"/>
    <col min="14845" max="14845" width="9.140625" style="168" customWidth="1"/>
    <col min="14846" max="14848" width="0" style="168" hidden="1" customWidth="1"/>
    <col min="14849" max="14849" width="6.7109375" style="168" customWidth="1"/>
    <col min="14850" max="14850" width="7.28515625" style="168" customWidth="1"/>
    <col min="14851" max="14851" width="75.7109375" style="168" customWidth="1"/>
    <col min="14852" max="14852" width="18.5703125" style="168" customWidth="1"/>
    <col min="14853" max="14853" width="9.7109375" style="168" customWidth="1"/>
    <col min="14854" max="14854" width="3.28515625" style="168" customWidth="1"/>
    <col min="14855" max="14855" width="6.42578125" style="168" customWidth="1"/>
    <col min="14856" max="14856" width="66.7109375" style="168" customWidth="1"/>
    <col min="14857" max="14857" width="16.7109375" style="168" customWidth="1"/>
    <col min="14858" max="14859" width="9.28515625" style="168"/>
    <col min="14860" max="14860" width="15.5703125" style="168" bestFit="1" customWidth="1"/>
    <col min="14861" max="14861" width="66.42578125" style="168" bestFit="1" customWidth="1"/>
    <col min="14862" max="14862" width="13.28515625" style="168" bestFit="1" customWidth="1"/>
    <col min="14863" max="14863" width="11.42578125" style="168" customWidth="1"/>
    <col min="14864" max="15097" width="9.28515625" style="168"/>
    <col min="15098" max="15098" width="7.7109375" style="168" customWidth="1"/>
    <col min="15099" max="15099" width="59.42578125" style="168" customWidth="1"/>
    <col min="15100" max="15100" width="14.5703125" style="168" bestFit="1" customWidth="1"/>
    <col min="15101" max="15101" width="9.140625" style="168" customWidth="1"/>
    <col min="15102" max="15104" width="0" style="168" hidden="1" customWidth="1"/>
    <col min="15105" max="15105" width="6.7109375" style="168" customWidth="1"/>
    <col min="15106" max="15106" width="7.28515625" style="168" customWidth="1"/>
    <col min="15107" max="15107" width="75.7109375" style="168" customWidth="1"/>
    <col min="15108" max="15108" width="18.5703125" style="168" customWidth="1"/>
    <col min="15109" max="15109" width="9.7109375" style="168" customWidth="1"/>
    <col min="15110" max="15110" width="3.28515625" style="168" customWidth="1"/>
    <col min="15111" max="15111" width="6.42578125" style="168" customWidth="1"/>
    <col min="15112" max="15112" width="66.7109375" style="168" customWidth="1"/>
    <col min="15113" max="15113" width="16.7109375" style="168" customWidth="1"/>
    <col min="15114" max="15115" width="9.28515625" style="168"/>
    <col min="15116" max="15116" width="15.5703125" style="168" bestFit="1" customWidth="1"/>
    <col min="15117" max="15117" width="66.42578125" style="168" bestFit="1" customWidth="1"/>
    <col min="15118" max="15118" width="13.28515625" style="168" bestFit="1" customWidth="1"/>
    <col min="15119" max="15119" width="11.42578125" style="168" customWidth="1"/>
    <col min="15120" max="15353" width="9.28515625" style="168"/>
    <col min="15354" max="15354" width="7.7109375" style="168" customWidth="1"/>
    <col min="15355" max="15355" width="59.42578125" style="168" customWidth="1"/>
    <col min="15356" max="15356" width="14.5703125" style="168" bestFit="1" customWidth="1"/>
    <col min="15357" max="15357" width="9.140625" style="168" customWidth="1"/>
    <col min="15358" max="15360" width="0" style="168" hidden="1" customWidth="1"/>
    <col min="15361" max="15361" width="6.7109375" style="168" customWidth="1"/>
    <col min="15362" max="15362" width="7.28515625" style="168" customWidth="1"/>
    <col min="15363" max="15363" width="75.7109375" style="168" customWidth="1"/>
    <col min="15364" max="15364" width="18.5703125" style="168" customWidth="1"/>
    <col min="15365" max="15365" width="9.7109375" style="168" customWidth="1"/>
    <col min="15366" max="15366" width="3.28515625" style="168" customWidth="1"/>
    <col min="15367" max="15367" width="6.42578125" style="168" customWidth="1"/>
    <col min="15368" max="15368" width="66.7109375" style="168" customWidth="1"/>
    <col min="15369" max="15369" width="16.7109375" style="168" customWidth="1"/>
    <col min="15370" max="15371" width="9.28515625" style="168"/>
    <col min="15372" max="15372" width="15.5703125" style="168" bestFit="1" customWidth="1"/>
    <col min="15373" max="15373" width="66.42578125" style="168" bestFit="1" customWidth="1"/>
    <col min="15374" max="15374" width="13.28515625" style="168" bestFit="1" customWidth="1"/>
    <col min="15375" max="15375" width="11.42578125" style="168" customWidth="1"/>
    <col min="15376" max="15609" width="9.28515625" style="168"/>
    <col min="15610" max="15610" width="7.7109375" style="168" customWidth="1"/>
    <col min="15611" max="15611" width="59.42578125" style="168" customWidth="1"/>
    <col min="15612" max="15612" width="14.5703125" style="168" bestFit="1" customWidth="1"/>
    <col min="15613" max="15613" width="9.140625" style="168" customWidth="1"/>
    <col min="15614" max="15616" width="0" style="168" hidden="1" customWidth="1"/>
    <col min="15617" max="15617" width="6.7109375" style="168" customWidth="1"/>
    <col min="15618" max="15618" width="7.28515625" style="168" customWidth="1"/>
    <col min="15619" max="15619" width="75.7109375" style="168" customWidth="1"/>
    <col min="15620" max="15620" width="18.5703125" style="168" customWidth="1"/>
    <col min="15621" max="15621" width="9.7109375" style="168" customWidth="1"/>
    <col min="15622" max="15622" width="3.28515625" style="168" customWidth="1"/>
    <col min="15623" max="15623" width="6.42578125" style="168" customWidth="1"/>
    <col min="15624" max="15624" width="66.7109375" style="168" customWidth="1"/>
    <col min="15625" max="15625" width="16.7109375" style="168" customWidth="1"/>
    <col min="15626" max="15627" width="9.28515625" style="168"/>
    <col min="15628" max="15628" width="15.5703125" style="168" bestFit="1" customWidth="1"/>
    <col min="15629" max="15629" width="66.42578125" style="168" bestFit="1" customWidth="1"/>
    <col min="15630" max="15630" width="13.28515625" style="168" bestFit="1" customWidth="1"/>
    <col min="15631" max="15631" width="11.42578125" style="168" customWidth="1"/>
    <col min="15632" max="15865" width="9.28515625" style="168"/>
    <col min="15866" max="15866" width="7.7109375" style="168" customWidth="1"/>
    <col min="15867" max="15867" width="59.42578125" style="168" customWidth="1"/>
    <col min="15868" max="15868" width="14.5703125" style="168" bestFit="1" customWidth="1"/>
    <col min="15869" max="15869" width="9.140625" style="168" customWidth="1"/>
    <col min="15870" max="15872" width="0" style="168" hidden="1" customWidth="1"/>
    <col min="15873" max="15873" width="6.7109375" style="168" customWidth="1"/>
    <col min="15874" max="15874" width="7.28515625" style="168" customWidth="1"/>
    <col min="15875" max="15875" width="75.7109375" style="168" customWidth="1"/>
    <col min="15876" max="15876" width="18.5703125" style="168" customWidth="1"/>
    <col min="15877" max="15877" width="9.7109375" style="168" customWidth="1"/>
    <col min="15878" max="15878" width="3.28515625" style="168" customWidth="1"/>
    <col min="15879" max="15879" width="6.42578125" style="168" customWidth="1"/>
    <col min="15880" max="15880" width="66.7109375" style="168" customWidth="1"/>
    <col min="15881" max="15881" width="16.7109375" style="168" customWidth="1"/>
    <col min="15882" max="15883" width="9.28515625" style="168"/>
    <col min="15884" max="15884" width="15.5703125" style="168" bestFit="1" customWidth="1"/>
    <col min="15885" max="15885" width="66.42578125" style="168" bestFit="1" customWidth="1"/>
    <col min="15886" max="15886" width="13.28515625" style="168" bestFit="1" customWidth="1"/>
    <col min="15887" max="15887" width="11.42578125" style="168" customWidth="1"/>
    <col min="15888" max="16121" width="9.28515625" style="168"/>
    <col min="16122" max="16122" width="7.7109375" style="168" customWidth="1"/>
    <col min="16123" max="16123" width="59.42578125" style="168" customWidth="1"/>
    <col min="16124" max="16124" width="14.5703125" style="168" bestFit="1" customWidth="1"/>
    <col min="16125" max="16125" width="9.140625" style="168" customWidth="1"/>
    <col min="16126" max="16128" width="0" style="168" hidden="1" customWidth="1"/>
    <col min="16129" max="16129" width="6.7109375" style="168" customWidth="1"/>
    <col min="16130" max="16130" width="7.28515625" style="168" customWidth="1"/>
    <col min="16131" max="16131" width="75.7109375" style="168" customWidth="1"/>
    <col min="16132" max="16132" width="18.5703125" style="168" customWidth="1"/>
    <col min="16133" max="16133" width="9.7109375" style="168" customWidth="1"/>
    <col min="16134" max="16134" width="3.28515625" style="168" customWidth="1"/>
    <col min="16135" max="16135" width="6.42578125" style="168" customWidth="1"/>
    <col min="16136" max="16136" width="66.7109375" style="168" customWidth="1"/>
    <col min="16137" max="16137" width="16.7109375" style="168" customWidth="1"/>
    <col min="16138" max="16139" width="9.28515625" style="168"/>
    <col min="16140" max="16140" width="15.5703125" style="168" bestFit="1" customWidth="1"/>
    <col min="16141" max="16141" width="66.42578125" style="168" bestFit="1" customWidth="1"/>
    <col min="16142" max="16142" width="13.28515625" style="168" bestFit="1" customWidth="1"/>
    <col min="16143" max="16143" width="11.42578125" style="168" customWidth="1"/>
    <col min="16144" max="16384" width="9.28515625" style="168"/>
  </cols>
  <sheetData>
    <row r="1" spans="1:59" s="158" customFormat="1">
      <c r="A1" s="156" t="s">
        <v>105</v>
      </c>
      <c r="B1" s="157"/>
      <c r="D1" s="398"/>
      <c r="I1" s="398"/>
      <c r="N1" s="398"/>
      <c r="S1" s="398"/>
      <c r="AH1" s="398"/>
      <c r="AM1" s="398"/>
      <c r="AR1" s="398"/>
      <c r="AW1" s="398"/>
    </row>
    <row r="2" spans="1:59" s="158" customFormat="1">
      <c r="A2" s="159" t="s">
        <v>106</v>
      </c>
      <c r="B2" s="157"/>
      <c r="D2" s="398"/>
      <c r="I2" s="398"/>
      <c r="N2" s="398"/>
      <c r="S2" s="398"/>
      <c r="AH2" s="398"/>
      <c r="AM2" s="398"/>
      <c r="AR2" s="398"/>
      <c r="AW2" s="398"/>
    </row>
    <row r="3" spans="1:59" s="158" customFormat="1">
      <c r="A3" s="159"/>
      <c r="B3" s="157"/>
      <c r="D3" s="398"/>
      <c r="I3" s="398"/>
      <c r="N3" s="398"/>
      <c r="S3" s="398"/>
      <c r="AH3" s="398"/>
      <c r="AM3" s="398"/>
      <c r="AR3" s="398"/>
      <c r="AW3" s="398"/>
    </row>
    <row r="4" spans="1:59" s="160" customFormat="1">
      <c r="A4" s="159"/>
      <c r="B4" s="190" t="s">
        <v>107</v>
      </c>
      <c r="C4" s="191">
        <f>'Pricelist Standard'!AC9</f>
        <v>8958200</v>
      </c>
      <c r="D4" s="194"/>
      <c r="G4" s="190" t="s">
        <v>107</v>
      </c>
      <c r="H4" s="191">
        <f>'Pricelist Standard'!AC10</f>
        <v>8962700</v>
      </c>
      <c r="I4" s="194"/>
      <c r="L4" s="190" t="s">
        <v>107</v>
      </c>
      <c r="M4" s="191">
        <f>'Pricelist Standard'!AC11</f>
        <v>8963300</v>
      </c>
      <c r="N4" s="194"/>
      <c r="Q4" s="190" t="s">
        <v>107</v>
      </c>
      <c r="R4" s="191">
        <f>'Pricelist Standard'!AC12</f>
        <v>8955200</v>
      </c>
      <c r="S4" s="194"/>
      <c r="V4" s="190" t="s">
        <v>107</v>
      </c>
      <c r="W4" s="191">
        <f>'Pricelist Standard'!AC13</f>
        <v>8947400</v>
      </c>
      <c r="AA4" s="190" t="s">
        <v>107</v>
      </c>
      <c r="AB4" s="191">
        <f>'Pricelist Standard'!AC14</f>
        <v>8939600</v>
      </c>
      <c r="AF4" s="190" t="s">
        <v>107</v>
      </c>
      <c r="AG4" s="191">
        <f>'Pricelist Standard'!AC15</f>
        <v>8931500</v>
      </c>
      <c r="AH4" s="194"/>
      <c r="AK4" s="190" t="s">
        <v>107</v>
      </c>
      <c r="AL4" s="191">
        <f>'Pricelist Standard'!AC16</f>
        <v>8900000</v>
      </c>
      <c r="AM4" s="194"/>
      <c r="AP4" s="190" t="s">
        <v>107</v>
      </c>
      <c r="AQ4" s="191">
        <f>'Pricelist Standard'!AC17</f>
        <v>8900000</v>
      </c>
      <c r="AR4" s="194"/>
      <c r="AU4" s="190" t="s">
        <v>107</v>
      </c>
      <c r="AV4" s="191" t="e">
        <f>'Pricelist Standard'!#REF!</f>
        <v>#REF!</v>
      </c>
      <c r="AW4" s="194"/>
    </row>
    <row r="5" spans="1:59" s="194" customFormat="1" ht="13.5" thickBot="1">
      <c r="B5" s="195"/>
      <c r="C5" s="196"/>
      <c r="G5" s="195"/>
      <c r="H5" s="196"/>
      <c r="L5" s="195"/>
      <c r="M5" s="196"/>
      <c r="Q5" s="195"/>
      <c r="R5" s="196"/>
      <c r="V5" s="195"/>
      <c r="W5" s="196"/>
      <c r="AA5" s="195"/>
      <c r="AB5" s="196"/>
      <c r="AF5" s="195"/>
      <c r="AG5" s="196"/>
      <c r="AK5" s="195"/>
      <c r="AL5" s="196"/>
      <c r="AP5" s="195"/>
      <c r="AQ5" s="196"/>
      <c r="AU5" s="195"/>
      <c r="AV5" s="196"/>
    </row>
    <row r="6" spans="1:59" s="161" customFormat="1">
      <c r="A6" s="470" t="s">
        <v>108</v>
      </c>
      <c r="B6" s="471"/>
      <c r="C6" s="471"/>
      <c r="D6" s="472"/>
      <c r="E6" s="162"/>
      <c r="F6" s="465" t="s">
        <v>109</v>
      </c>
      <c r="G6" s="466"/>
      <c r="H6" s="466"/>
      <c r="I6" s="467"/>
      <c r="J6" s="162"/>
      <c r="K6" s="465" t="s">
        <v>110</v>
      </c>
      <c r="L6" s="466"/>
      <c r="M6" s="466"/>
      <c r="N6" s="467"/>
      <c r="O6" s="162"/>
      <c r="P6" s="465" t="s">
        <v>110</v>
      </c>
      <c r="Q6" s="466"/>
      <c r="R6" s="466"/>
      <c r="S6" s="467"/>
      <c r="T6" s="162"/>
      <c r="U6" s="465" t="s">
        <v>110</v>
      </c>
      <c r="V6" s="466"/>
      <c r="W6" s="466"/>
      <c r="X6" s="467"/>
      <c r="Y6" s="162"/>
      <c r="Z6" s="465" t="s">
        <v>110</v>
      </c>
      <c r="AA6" s="466"/>
      <c r="AB6" s="466"/>
      <c r="AC6" s="467"/>
      <c r="AD6" s="162"/>
      <c r="AE6" s="465" t="s">
        <v>110</v>
      </c>
      <c r="AF6" s="466"/>
      <c r="AG6" s="466"/>
      <c r="AH6" s="467"/>
      <c r="AI6" s="162"/>
      <c r="AJ6" s="465" t="s">
        <v>110</v>
      </c>
      <c r="AK6" s="466"/>
      <c r="AL6" s="466"/>
      <c r="AM6" s="467"/>
      <c r="AN6" s="162"/>
      <c r="AO6" s="465" t="s">
        <v>110</v>
      </c>
      <c r="AP6" s="466"/>
      <c r="AQ6" s="466"/>
      <c r="AR6" s="467"/>
      <c r="AS6" s="162"/>
      <c r="AT6" s="465" t="s">
        <v>110</v>
      </c>
      <c r="AU6" s="466"/>
      <c r="AV6" s="466"/>
      <c r="AW6" s="467"/>
      <c r="AX6" s="162"/>
      <c r="AY6" s="162"/>
      <c r="AZ6" s="162"/>
      <c r="BA6" s="162"/>
      <c r="BB6" s="162"/>
      <c r="BC6" s="162"/>
      <c r="BD6" s="162"/>
      <c r="BE6" s="162"/>
      <c r="BF6" s="162"/>
      <c r="BG6" s="162"/>
    </row>
    <row r="7" spans="1:59" s="165" customFormat="1" ht="20.45" customHeight="1">
      <c r="A7" s="473" t="s">
        <v>111</v>
      </c>
      <c r="B7" s="469"/>
      <c r="C7" s="184" t="s">
        <v>112</v>
      </c>
      <c r="D7" s="397"/>
      <c r="E7" s="160"/>
      <c r="F7" s="463" t="s">
        <v>111</v>
      </c>
      <c r="G7" s="464"/>
      <c r="H7" s="163" t="s">
        <v>112</v>
      </c>
      <c r="I7" s="164"/>
      <c r="J7" s="160"/>
      <c r="K7" s="463" t="s">
        <v>111</v>
      </c>
      <c r="L7" s="464"/>
      <c r="M7" s="163" t="s">
        <v>112</v>
      </c>
      <c r="N7" s="164"/>
      <c r="O7" s="160"/>
      <c r="P7" s="463" t="s">
        <v>111</v>
      </c>
      <c r="Q7" s="464"/>
      <c r="R7" s="163" t="s">
        <v>112</v>
      </c>
      <c r="S7" s="164"/>
      <c r="T7" s="160"/>
      <c r="U7" s="463" t="s">
        <v>111</v>
      </c>
      <c r="V7" s="464"/>
      <c r="W7" s="163" t="s">
        <v>112</v>
      </c>
      <c r="X7" s="164"/>
      <c r="Y7" s="160"/>
      <c r="Z7" s="463" t="s">
        <v>111</v>
      </c>
      <c r="AA7" s="464"/>
      <c r="AB7" s="163" t="s">
        <v>112</v>
      </c>
      <c r="AC7" s="164"/>
      <c r="AD7" s="160"/>
      <c r="AE7" s="463" t="s">
        <v>111</v>
      </c>
      <c r="AF7" s="464"/>
      <c r="AG7" s="163" t="s">
        <v>112</v>
      </c>
      <c r="AH7" s="164"/>
      <c r="AI7" s="160"/>
      <c r="AJ7" s="463" t="s">
        <v>111</v>
      </c>
      <c r="AK7" s="464"/>
      <c r="AL7" s="163" t="s">
        <v>112</v>
      </c>
      <c r="AM7" s="164"/>
      <c r="AN7" s="160"/>
      <c r="AO7" s="463" t="s">
        <v>111</v>
      </c>
      <c r="AP7" s="464"/>
      <c r="AQ7" s="163" t="s">
        <v>112</v>
      </c>
      <c r="AR7" s="164"/>
      <c r="AS7" s="160"/>
      <c r="AT7" s="463" t="s">
        <v>111</v>
      </c>
      <c r="AU7" s="464"/>
      <c r="AV7" s="163" t="s">
        <v>112</v>
      </c>
      <c r="AW7" s="164"/>
      <c r="AX7" s="160"/>
      <c r="AY7" s="160"/>
      <c r="AZ7" s="160"/>
      <c r="BA7" s="160"/>
      <c r="BB7" s="160"/>
      <c r="BC7" s="160"/>
      <c r="BD7" s="160"/>
      <c r="BE7" s="160"/>
      <c r="BF7" s="160"/>
      <c r="BG7" s="160"/>
    </row>
    <row r="8" spans="1:59" s="165" customFormat="1">
      <c r="A8" s="166" t="s">
        <v>72</v>
      </c>
      <c r="B8" s="193" t="s">
        <v>42</v>
      </c>
      <c r="C8" s="208"/>
      <c r="D8" s="399"/>
      <c r="E8" s="160"/>
      <c r="F8" s="166" t="s">
        <v>72</v>
      </c>
      <c r="G8" s="167" t="s">
        <v>46</v>
      </c>
      <c r="H8" s="208"/>
      <c r="I8" s="399"/>
      <c r="J8" s="160"/>
      <c r="K8" s="166" t="s">
        <v>72</v>
      </c>
      <c r="L8" s="192" t="s">
        <v>49</v>
      </c>
      <c r="M8" s="209"/>
      <c r="N8" s="399"/>
      <c r="O8" s="160"/>
      <c r="P8" s="166" t="s">
        <v>72</v>
      </c>
      <c r="Q8" s="192" t="s">
        <v>50</v>
      </c>
      <c r="R8" s="209"/>
      <c r="S8" s="399"/>
      <c r="T8" s="160"/>
      <c r="U8" s="166" t="s">
        <v>72</v>
      </c>
      <c r="V8" s="192" t="s">
        <v>51</v>
      </c>
      <c r="W8" s="209"/>
      <c r="X8" s="210"/>
      <c r="Y8" s="160"/>
      <c r="Z8" s="166" t="s">
        <v>72</v>
      </c>
      <c r="AA8" s="192" t="s">
        <v>52</v>
      </c>
      <c r="AB8" s="209"/>
      <c r="AC8" s="210"/>
      <c r="AD8" s="160"/>
      <c r="AE8" s="166" t="s">
        <v>72</v>
      </c>
      <c r="AF8" s="192" t="s">
        <v>53</v>
      </c>
      <c r="AG8" s="209"/>
      <c r="AH8" s="399"/>
      <c r="AI8" s="160"/>
      <c r="AJ8" s="166" t="s">
        <v>72</v>
      </c>
      <c r="AK8" s="192" t="s">
        <v>54</v>
      </c>
      <c r="AL8" s="209"/>
      <c r="AM8" s="399"/>
      <c r="AN8" s="160"/>
      <c r="AO8" s="166" t="s">
        <v>72</v>
      </c>
      <c r="AP8" s="192" t="s">
        <v>55</v>
      </c>
      <c r="AQ8" s="209"/>
      <c r="AR8" s="399"/>
      <c r="AS8" s="160"/>
      <c r="AT8" s="166" t="s">
        <v>72</v>
      </c>
      <c r="AU8" s="192" t="s">
        <v>113</v>
      </c>
      <c r="AV8" s="209"/>
      <c r="AW8" s="399"/>
      <c r="AX8" s="160"/>
      <c r="AY8" s="160"/>
      <c r="AZ8" s="160"/>
      <c r="BA8" s="160"/>
      <c r="BB8" s="160"/>
      <c r="BC8" s="160"/>
      <c r="BD8" s="160"/>
      <c r="BE8" s="160"/>
      <c r="BF8" s="160"/>
      <c r="BG8" s="160"/>
    </row>
    <row r="9" spans="1:59" s="165" customFormat="1">
      <c r="A9" s="166" t="s">
        <v>114</v>
      </c>
      <c r="B9" s="193"/>
      <c r="C9" s="207">
        <v>72</v>
      </c>
      <c r="D9" s="399"/>
      <c r="E9" s="160"/>
      <c r="F9" s="166" t="s">
        <v>114</v>
      </c>
      <c r="G9" s="167"/>
      <c r="H9" s="208">
        <v>72</v>
      </c>
      <c r="I9" s="399"/>
      <c r="J9" s="160"/>
      <c r="K9" s="166" t="s">
        <v>114</v>
      </c>
      <c r="L9" s="192"/>
      <c r="M9" s="208">
        <v>72</v>
      </c>
      <c r="N9" s="399"/>
      <c r="O9" s="160"/>
      <c r="P9" s="166" t="s">
        <v>114</v>
      </c>
      <c r="Q9" s="192"/>
      <c r="R9" s="208">
        <v>72</v>
      </c>
      <c r="S9" s="399"/>
      <c r="T9" s="160"/>
      <c r="U9" s="166" t="s">
        <v>114</v>
      </c>
      <c r="V9" s="192"/>
      <c r="W9" s="208">
        <v>72</v>
      </c>
      <c r="X9" s="210"/>
      <c r="Y9" s="160"/>
      <c r="Z9" s="166" t="s">
        <v>114</v>
      </c>
      <c r="AA9" s="192"/>
      <c r="AB9" s="208">
        <v>72</v>
      </c>
      <c r="AC9" s="210"/>
      <c r="AD9" s="160"/>
      <c r="AE9" s="166" t="s">
        <v>114</v>
      </c>
      <c r="AF9" s="192"/>
      <c r="AG9" s="208">
        <v>72</v>
      </c>
      <c r="AH9" s="399"/>
      <c r="AI9" s="160"/>
      <c r="AJ9" s="166" t="s">
        <v>114</v>
      </c>
      <c r="AK9" s="192"/>
      <c r="AL9" s="208">
        <v>72</v>
      </c>
      <c r="AM9" s="399"/>
      <c r="AN9" s="160"/>
      <c r="AO9" s="166" t="s">
        <v>114</v>
      </c>
      <c r="AP9" s="192"/>
      <c r="AQ9" s="208">
        <v>72</v>
      </c>
      <c r="AR9" s="399"/>
      <c r="AS9" s="160"/>
      <c r="AT9" s="166" t="s">
        <v>114</v>
      </c>
      <c r="AU9" s="192"/>
      <c r="AV9" s="208">
        <v>72</v>
      </c>
      <c r="AW9" s="399"/>
      <c r="AX9" s="160"/>
      <c r="AY9" s="160"/>
      <c r="AZ9" s="160"/>
      <c r="BA9" s="160"/>
      <c r="BB9" s="160"/>
      <c r="BC9" s="160"/>
      <c r="BD9" s="160"/>
      <c r="BE9" s="160"/>
      <c r="BF9" s="160"/>
      <c r="BG9" s="160"/>
    </row>
    <row r="10" spans="1:59" s="165" customFormat="1">
      <c r="A10" s="166" t="s">
        <v>115</v>
      </c>
      <c r="B10" s="193" t="s">
        <v>116</v>
      </c>
      <c r="C10" s="207">
        <v>32500</v>
      </c>
      <c r="D10" s="399"/>
      <c r="E10" s="160"/>
      <c r="F10" s="166" t="s">
        <v>115</v>
      </c>
      <c r="G10" s="193" t="s">
        <v>116</v>
      </c>
      <c r="H10" s="207">
        <v>32500</v>
      </c>
      <c r="I10" s="399"/>
      <c r="J10" s="160"/>
      <c r="K10" s="166" t="s">
        <v>115</v>
      </c>
      <c r="L10" s="193" t="s">
        <v>116</v>
      </c>
      <c r="M10" s="207">
        <v>32500</v>
      </c>
      <c r="N10" s="399"/>
      <c r="O10" s="160"/>
      <c r="P10" s="166" t="s">
        <v>115</v>
      </c>
      <c r="Q10" s="193" t="s">
        <v>116</v>
      </c>
      <c r="R10" s="207">
        <v>32500</v>
      </c>
      <c r="S10" s="399"/>
      <c r="T10" s="160"/>
      <c r="U10" s="166" t="s">
        <v>115</v>
      </c>
      <c r="V10" s="193" t="s">
        <v>116</v>
      </c>
      <c r="W10" s="207">
        <v>32500</v>
      </c>
      <c r="X10" s="210"/>
      <c r="Y10" s="160"/>
      <c r="Z10" s="166" t="s">
        <v>115</v>
      </c>
      <c r="AA10" s="193" t="s">
        <v>116</v>
      </c>
      <c r="AB10" s="207">
        <v>32500</v>
      </c>
      <c r="AC10" s="210"/>
      <c r="AD10" s="160"/>
      <c r="AE10" s="166" t="s">
        <v>115</v>
      </c>
      <c r="AF10" s="193" t="s">
        <v>116</v>
      </c>
      <c r="AG10" s="207">
        <v>32500</v>
      </c>
      <c r="AH10" s="399"/>
      <c r="AI10" s="160"/>
      <c r="AJ10" s="166" t="s">
        <v>115</v>
      </c>
      <c r="AK10" s="193" t="s">
        <v>116</v>
      </c>
      <c r="AL10" s="207">
        <v>32500</v>
      </c>
      <c r="AM10" s="399"/>
      <c r="AN10" s="160"/>
      <c r="AO10" s="166" t="s">
        <v>115</v>
      </c>
      <c r="AP10" s="193" t="s">
        <v>116</v>
      </c>
      <c r="AQ10" s="207">
        <v>32500</v>
      </c>
      <c r="AR10" s="399"/>
      <c r="AS10" s="160"/>
      <c r="AT10" s="166" t="s">
        <v>115</v>
      </c>
      <c r="AU10" s="193" t="s">
        <v>116</v>
      </c>
      <c r="AV10" s="207">
        <v>32500</v>
      </c>
      <c r="AW10" s="399"/>
      <c r="AX10" s="160"/>
      <c r="AY10" s="160"/>
      <c r="AZ10" s="160"/>
      <c r="BA10" s="160"/>
      <c r="BB10" s="160"/>
      <c r="BC10" s="160"/>
      <c r="BD10" s="160"/>
      <c r="BE10" s="160"/>
      <c r="BF10" s="160"/>
      <c r="BG10" s="160"/>
    </row>
    <row r="11" spans="1:59" s="160" customFormat="1">
      <c r="A11" s="376" t="s">
        <v>117</v>
      </c>
      <c r="B11" s="374" t="s">
        <v>153</v>
      </c>
      <c r="C11" s="371">
        <f>C9*C10</f>
        <v>2340000</v>
      </c>
      <c r="D11" s="377"/>
      <c r="F11" s="376" t="s">
        <v>117</v>
      </c>
      <c r="G11" s="374" t="s">
        <v>153</v>
      </c>
      <c r="H11" s="371">
        <f>H9*H10</f>
        <v>2340000</v>
      </c>
      <c r="I11" s="377"/>
      <c r="K11" s="376" t="s">
        <v>117</v>
      </c>
      <c r="L11" s="374" t="s">
        <v>153</v>
      </c>
      <c r="M11" s="371">
        <f>M9*M10</f>
        <v>2340000</v>
      </c>
      <c r="N11" s="377"/>
      <c r="P11" s="376" t="s">
        <v>117</v>
      </c>
      <c r="Q11" s="374" t="s">
        <v>153</v>
      </c>
      <c r="R11" s="371">
        <f>R9*R10</f>
        <v>2340000</v>
      </c>
      <c r="S11" s="377"/>
      <c r="U11" s="376" t="s">
        <v>117</v>
      </c>
      <c r="V11" s="374" t="s">
        <v>153</v>
      </c>
      <c r="W11" s="371">
        <f>W9*W10</f>
        <v>2340000</v>
      </c>
      <c r="X11" s="377"/>
      <c r="Z11" s="376" t="s">
        <v>117</v>
      </c>
      <c r="AA11" s="374" t="s">
        <v>153</v>
      </c>
      <c r="AB11" s="371">
        <f>AB9*AB10</f>
        <v>2340000</v>
      </c>
      <c r="AC11" s="377"/>
      <c r="AE11" s="376" t="s">
        <v>117</v>
      </c>
      <c r="AF11" s="374" t="s">
        <v>153</v>
      </c>
      <c r="AG11" s="371">
        <f>AG9*AG10</f>
        <v>2340000</v>
      </c>
      <c r="AH11" s="377"/>
      <c r="AJ11" s="376" t="s">
        <v>117</v>
      </c>
      <c r="AK11" s="374" t="s">
        <v>153</v>
      </c>
      <c r="AL11" s="371">
        <f>AL9*AL10</f>
        <v>2340000</v>
      </c>
      <c r="AM11" s="377"/>
      <c r="AO11" s="376" t="s">
        <v>117</v>
      </c>
      <c r="AP11" s="374" t="s">
        <v>153</v>
      </c>
      <c r="AQ11" s="371">
        <f>AQ9*AQ10</f>
        <v>2340000</v>
      </c>
      <c r="AR11" s="377"/>
      <c r="AT11" s="376" t="s">
        <v>117</v>
      </c>
      <c r="AU11" s="374" t="s">
        <v>153</v>
      </c>
      <c r="AV11" s="371">
        <f>AV9*AV10</f>
        <v>2340000</v>
      </c>
      <c r="AW11" s="377"/>
    </row>
    <row r="12" spans="1:59" s="160" customFormat="1">
      <c r="A12" s="376"/>
      <c r="B12" s="374" t="s">
        <v>154</v>
      </c>
      <c r="C12" s="371">
        <f>C11*D12</f>
        <v>140400</v>
      </c>
      <c r="D12" s="377">
        <v>0.06</v>
      </c>
      <c r="F12" s="376"/>
      <c r="G12" s="374" t="s">
        <v>154</v>
      </c>
      <c r="H12" s="371">
        <f>H11*I12</f>
        <v>140400</v>
      </c>
      <c r="I12" s="377">
        <v>0.06</v>
      </c>
      <c r="K12" s="376"/>
      <c r="L12" s="374" t="s">
        <v>154</v>
      </c>
      <c r="M12" s="371">
        <f>M11*N12</f>
        <v>140400</v>
      </c>
      <c r="N12" s="377">
        <v>0.06</v>
      </c>
      <c r="P12" s="376"/>
      <c r="Q12" s="374" t="s">
        <v>154</v>
      </c>
      <c r="R12" s="371">
        <f>R11*S12</f>
        <v>140400</v>
      </c>
      <c r="S12" s="377">
        <v>0.06</v>
      </c>
      <c r="U12" s="376"/>
      <c r="V12" s="374" t="s">
        <v>154</v>
      </c>
      <c r="W12" s="371">
        <f>W11*X12</f>
        <v>140400</v>
      </c>
      <c r="X12" s="377">
        <v>0.06</v>
      </c>
      <c r="Z12" s="376"/>
      <c r="AA12" s="374" t="s">
        <v>154</v>
      </c>
      <c r="AB12" s="371">
        <f>AB11*AC12</f>
        <v>140400</v>
      </c>
      <c r="AC12" s="377">
        <v>0.06</v>
      </c>
      <c r="AE12" s="376"/>
      <c r="AF12" s="374" t="s">
        <v>154</v>
      </c>
      <c r="AG12" s="371">
        <f>AG11*AH12</f>
        <v>140400</v>
      </c>
      <c r="AH12" s="377">
        <v>0.06</v>
      </c>
      <c r="AJ12" s="376"/>
      <c r="AK12" s="374" t="s">
        <v>154</v>
      </c>
      <c r="AL12" s="371">
        <f>AL11*AM12</f>
        <v>140400</v>
      </c>
      <c r="AM12" s="377">
        <v>0.06</v>
      </c>
      <c r="AO12" s="376"/>
      <c r="AP12" s="374" t="s">
        <v>154</v>
      </c>
      <c r="AQ12" s="371">
        <f>AQ11*AR12</f>
        <v>140400</v>
      </c>
      <c r="AR12" s="377">
        <v>0.06</v>
      </c>
      <c r="AT12" s="376"/>
      <c r="AU12" s="374" t="s">
        <v>154</v>
      </c>
      <c r="AV12" s="371">
        <f>AV11*AW12</f>
        <v>140400</v>
      </c>
      <c r="AW12" s="377">
        <v>0.06</v>
      </c>
    </row>
    <row r="13" spans="1:59" s="160" customFormat="1">
      <c r="A13" s="376"/>
      <c r="B13" s="374" t="s">
        <v>155</v>
      </c>
      <c r="C13" s="371">
        <f>C11*D13</f>
        <v>140400</v>
      </c>
      <c r="D13" s="377">
        <v>0.06</v>
      </c>
      <c r="F13" s="376"/>
      <c r="G13" s="374" t="s">
        <v>155</v>
      </c>
      <c r="H13" s="371">
        <f>H11*I13</f>
        <v>140400</v>
      </c>
      <c r="I13" s="377">
        <v>0.06</v>
      </c>
      <c r="K13" s="376"/>
      <c r="L13" s="374" t="s">
        <v>155</v>
      </c>
      <c r="M13" s="371">
        <f>M11*N13</f>
        <v>140400</v>
      </c>
      <c r="N13" s="377">
        <v>0.06</v>
      </c>
      <c r="P13" s="376"/>
      <c r="Q13" s="374" t="s">
        <v>155</v>
      </c>
      <c r="R13" s="371">
        <f>R11*S13</f>
        <v>140400</v>
      </c>
      <c r="S13" s="377">
        <v>0.06</v>
      </c>
      <c r="U13" s="376"/>
      <c r="V13" s="374" t="s">
        <v>155</v>
      </c>
      <c r="W13" s="371">
        <f>W11*X13</f>
        <v>140400</v>
      </c>
      <c r="X13" s="377">
        <v>0.06</v>
      </c>
      <c r="Z13" s="376"/>
      <c r="AA13" s="374" t="s">
        <v>155</v>
      </c>
      <c r="AB13" s="371">
        <f>AB11*AC13</f>
        <v>140400</v>
      </c>
      <c r="AC13" s="377">
        <v>0.06</v>
      </c>
      <c r="AE13" s="376"/>
      <c r="AF13" s="374" t="s">
        <v>155</v>
      </c>
      <c r="AG13" s="371">
        <f>AG11*AH13</f>
        <v>140400</v>
      </c>
      <c r="AH13" s="377">
        <v>0.06</v>
      </c>
      <c r="AJ13" s="376"/>
      <c r="AK13" s="374" t="s">
        <v>155</v>
      </c>
      <c r="AL13" s="371">
        <f>AL11*AM13</f>
        <v>140400</v>
      </c>
      <c r="AM13" s="377">
        <v>0.06</v>
      </c>
      <c r="AO13" s="376"/>
      <c r="AP13" s="374" t="s">
        <v>155</v>
      </c>
      <c r="AQ13" s="371">
        <f>AQ11*AR13</f>
        <v>140400</v>
      </c>
      <c r="AR13" s="377">
        <v>0.06</v>
      </c>
      <c r="AT13" s="376"/>
      <c r="AU13" s="374" t="s">
        <v>155</v>
      </c>
      <c r="AV13" s="371">
        <f>AV11*AW13</f>
        <v>140400</v>
      </c>
      <c r="AW13" s="377">
        <v>0.06</v>
      </c>
    </row>
    <row r="14" spans="1:59" s="369" customFormat="1">
      <c r="A14" s="378"/>
      <c r="B14" s="375" t="s">
        <v>156</v>
      </c>
      <c r="C14" s="368">
        <f>SUM(C11:C13)</f>
        <v>2620800</v>
      </c>
      <c r="D14" s="379"/>
      <c r="F14" s="378"/>
      <c r="G14" s="375" t="s">
        <v>156</v>
      </c>
      <c r="H14" s="368">
        <f>SUM(H11:H13)</f>
        <v>2620800</v>
      </c>
      <c r="I14" s="379"/>
      <c r="K14" s="378"/>
      <c r="L14" s="375" t="s">
        <v>156</v>
      </c>
      <c r="M14" s="368">
        <f>SUM(M11:M13)</f>
        <v>2620800</v>
      </c>
      <c r="N14" s="379"/>
      <c r="P14" s="378"/>
      <c r="Q14" s="375" t="s">
        <v>156</v>
      </c>
      <c r="R14" s="368">
        <f>SUM(R11:R13)</f>
        <v>2620800</v>
      </c>
      <c r="S14" s="379"/>
      <c r="U14" s="378"/>
      <c r="V14" s="375" t="s">
        <v>156</v>
      </c>
      <c r="W14" s="368">
        <f>SUM(W11:W13)</f>
        <v>2620800</v>
      </c>
      <c r="X14" s="379"/>
      <c r="Z14" s="378"/>
      <c r="AA14" s="375" t="s">
        <v>156</v>
      </c>
      <c r="AB14" s="368">
        <f>SUM(AB11:AB13)</f>
        <v>2620800</v>
      </c>
      <c r="AC14" s="379"/>
      <c r="AE14" s="378"/>
      <c r="AF14" s="375" t="s">
        <v>156</v>
      </c>
      <c r="AG14" s="368">
        <f>SUM(AG11:AG13)</f>
        <v>2620800</v>
      </c>
      <c r="AH14" s="379"/>
      <c r="AJ14" s="378"/>
      <c r="AK14" s="375" t="s">
        <v>156</v>
      </c>
      <c r="AL14" s="368">
        <f>SUM(AL11:AL13)</f>
        <v>2620800</v>
      </c>
      <c r="AM14" s="379"/>
      <c r="AO14" s="378"/>
      <c r="AP14" s="375" t="s">
        <v>156</v>
      </c>
      <c r="AQ14" s="368">
        <f>SUM(AQ11:AQ13)</f>
        <v>2620800</v>
      </c>
      <c r="AR14" s="379"/>
      <c r="AT14" s="378"/>
      <c r="AU14" s="375" t="s">
        <v>156</v>
      </c>
      <c r="AV14" s="368">
        <f>SUM(AV11:AV13)</f>
        <v>2620800</v>
      </c>
      <c r="AW14" s="379"/>
    </row>
    <row r="15" spans="1:59" s="160" customFormat="1">
      <c r="A15" s="376"/>
      <c r="B15" s="370"/>
      <c r="C15" s="371"/>
      <c r="D15" s="377"/>
      <c r="F15" s="376"/>
      <c r="G15" s="370"/>
      <c r="H15" s="371"/>
      <c r="I15" s="400"/>
      <c r="K15" s="376"/>
      <c r="L15" s="370"/>
      <c r="M15" s="371"/>
      <c r="N15" s="400"/>
      <c r="P15" s="376"/>
      <c r="Q15" s="370"/>
      <c r="R15" s="373"/>
      <c r="S15" s="400"/>
      <c r="U15" s="376"/>
      <c r="V15" s="370"/>
      <c r="W15" s="373"/>
      <c r="X15" s="372"/>
      <c r="Z15" s="376"/>
      <c r="AA15" s="370"/>
      <c r="AB15" s="373"/>
      <c r="AC15" s="372"/>
      <c r="AE15" s="376"/>
      <c r="AF15" s="370"/>
      <c r="AG15" s="373"/>
      <c r="AH15" s="400"/>
      <c r="AJ15" s="376"/>
      <c r="AK15" s="370"/>
      <c r="AL15" s="373"/>
      <c r="AM15" s="400"/>
      <c r="AO15" s="376"/>
      <c r="AP15" s="370"/>
      <c r="AQ15" s="373"/>
      <c r="AR15" s="400"/>
      <c r="AT15" s="376"/>
      <c r="AU15" s="370"/>
      <c r="AV15" s="373"/>
      <c r="AW15" s="400"/>
    </row>
    <row r="16" spans="1:59" s="165" customFormat="1">
      <c r="A16" s="166"/>
      <c r="B16" s="176"/>
      <c r="C16" s="207"/>
      <c r="D16" s="401"/>
      <c r="E16" s="160"/>
      <c r="F16" s="166"/>
      <c r="G16" s="176"/>
      <c r="H16" s="207"/>
      <c r="I16" s="401"/>
      <c r="J16" s="160"/>
      <c r="K16" s="166"/>
      <c r="L16" s="176"/>
      <c r="M16" s="207"/>
      <c r="N16" s="401"/>
      <c r="O16" s="160"/>
      <c r="P16" s="166"/>
      <c r="Q16" s="176"/>
      <c r="R16" s="211"/>
      <c r="S16" s="401"/>
      <c r="T16" s="160"/>
      <c r="U16" s="166"/>
      <c r="V16" s="176"/>
      <c r="W16" s="211"/>
      <c r="X16" s="212"/>
      <c r="Y16" s="160"/>
      <c r="Z16" s="166"/>
      <c r="AA16" s="176"/>
      <c r="AB16" s="211"/>
      <c r="AC16" s="212"/>
      <c r="AD16" s="160"/>
      <c r="AE16" s="166"/>
      <c r="AF16" s="176"/>
      <c r="AG16" s="211"/>
      <c r="AH16" s="401"/>
      <c r="AI16" s="160"/>
      <c r="AJ16" s="166"/>
      <c r="AK16" s="176"/>
      <c r="AL16" s="211"/>
      <c r="AM16" s="401"/>
      <c r="AN16" s="160"/>
      <c r="AO16" s="166"/>
      <c r="AP16" s="176"/>
      <c r="AQ16" s="211"/>
      <c r="AR16" s="401"/>
      <c r="AS16" s="160"/>
      <c r="AT16" s="166"/>
      <c r="AU16" s="176"/>
      <c r="AV16" s="211"/>
      <c r="AW16" s="401"/>
      <c r="AX16" s="160"/>
      <c r="AY16" s="160"/>
      <c r="AZ16" s="160"/>
      <c r="BA16" s="160"/>
      <c r="BB16" s="160"/>
      <c r="BC16" s="160"/>
      <c r="BD16" s="160"/>
      <c r="BE16" s="160"/>
      <c r="BF16" s="160"/>
      <c r="BG16" s="160"/>
    </row>
    <row r="17" spans="1:59">
      <c r="A17" s="166"/>
      <c r="B17" s="169"/>
      <c r="C17" s="170"/>
      <c r="D17" s="402"/>
      <c r="F17" s="166"/>
      <c r="G17" s="169"/>
      <c r="H17" s="170"/>
      <c r="I17" s="402"/>
      <c r="K17" s="166"/>
      <c r="L17" s="169"/>
      <c r="M17" s="170"/>
      <c r="N17" s="402"/>
      <c r="P17" s="166"/>
      <c r="Q17" s="169"/>
      <c r="R17" s="170"/>
      <c r="S17" s="402"/>
      <c r="U17" s="166"/>
      <c r="V17" s="169"/>
      <c r="W17" s="170"/>
      <c r="X17" s="380"/>
      <c r="Z17" s="166"/>
      <c r="AA17" s="169"/>
      <c r="AB17" s="170"/>
      <c r="AC17" s="380"/>
      <c r="AE17" s="166"/>
      <c r="AF17" s="169"/>
      <c r="AG17" s="170"/>
      <c r="AH17" s="402"/>
      <c r="AJ17" s="166"/>
      <c r="AK17" s="169"/>
      <c r="AL17" s="170"/>
      <c r="AM17" s="402"/>
      <c r="AO17" s="166"/>
      <c r="AP17" s="169"/>
      <c r="AQ17" s="170"/>
      <c r="AR17" s="402"/>
      <c r="AT17" s="166"/>
      <c r="AU17" s="169"/>
      <c r="AV17" s="170"/>
      <c r="AW17" s="402"/>
    </row>
    <row r="18" spans="1:59" s="165" customFormat="1">
      <c r="A18" s="381">
        <v>1</v>
      </c>
      <c r="B18" s="176" t="s">
        <v>120</v>
      </c>
      <c r="C18" s="207"/>
      <c r="D18" s="401"/>
      <c r="E18" s="160"/>
      <c r="F18" s="381">
        <v>1</v>
      </c>
      <c r="G18" s="176" t="s">
        <v>120</v>
      </c>
      <c r="H18" s="207"/>
      <c r="I18" s="401"/>
      <c r="J18" s="160"/>
      <c r="K18" s="381">
        <v>1</v>
      </c>
      <c r="L18" s="176" t="s">
        <v>120</v>
      </c>
      <c r="M18" s="207"/>
      <c r="N18" s="401"/>
      <c r="O18" s="160"/>
      <c r="P18" s="381">
        <v>1</v>
      </c>
      <c r="Q18" s="176" t="s">
        <v>120</v>
      </c>
      <c r="R18" s="207"/>
      <c r="S18" s="401"/>
      <c r="T18" s="160"/>
      <c r="U18" s="381">
        <v>1</v>
      </c>
      <c r="V18" s="176" t="s">
        <v>120</v>
      </c>
      <c r="W18" s="207"/>
      <c r="X18" s="212"/>
      <c r="Y18" s="160"/>
      <c r="Z18" s="381">
        <v>1</v>
      </c>
      <c r="AA18" s="176" t="s">
        <v>120</v>
      </c>
      <c r="AB18" s="207"/>
      <c r="AC18" s="212"/>
      <c r="AD18" s="160"/>
      <c r="AE18" s="381">
        <v>1</v>
      </c>
      <c r="AF18" s="176" t="s">
        <v>120</v>
      </c>
      <c r="AG18" s="207"/>
      <c r="AH18" s="401"/>
      <c r="AI18" s="160"/>
      <c r="AJ18" s="381">
        <v>1</v>
      </c>
      <c r="AK18" s="176" t="s">
        <v>120</v>
      </c>
      <c r="AL18" s="207"/>
      <c r="AM18" s="401"/>
      <c r="AN18" s="160"/>
      <c r="AO18" s="381">
        <v>1</v>
      </c>
      <c r="AP18" s="176" t="s">
        <v>120</v>
      </c>
      <c r="AQ18" s="207"/>
      <c r="AR18" s="401"/>
      <c r="AS18" s="160"/>
      <c r="AT18" s="381">
        <v>1</v>
      </c>
      <c r="AU18" s="176" t="s">
        <v>120</v>
      </c>
      <c r="AV18" s="207"/>
      <c r="AW18" s="401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</row>
    <row r="19" spans="1:59">
      <c r="A19" s="382"/>
      <c r="B19" s="171" t="s">
        <v>121</v>
      </c>
      <c r="C19" s="170"/>
      <c r="D19" s="403">
        <f t="shared" ref="D19:D48" si="0">C19/$C$11</f>
        <v>0</v>
      </c>
      <c r="F19" s="382"/>
      <c r="G19" s="171" t="s">
        <v>121</v>
      </c>
      <c r="H19" s="170"/>
      <c r="I19" s="403">
        <f t="shared" ref="I19:I20" si="1">H19/$C$11</f>
        <v>0</v>
      </c>
      <c r="K19" s="382"/>
      <c r="L19" s="171" t="s">
        <v>121</v>
      </c>
      <c r="M19" s="170"/>
      <c r="N19" s="403">
        <f t="shared" ref="N19:N20" si="2">M19/$C$11</f>
        <v>0</v>
      </c>
      <c r="P19" s="382"/>
      <c r="Q19" s="171" t="s">
        <v>121</v>
      </c>
      <c r="R19" s="170"/>
      <c r="S19" s="403">
        <f t="shared" ref="S19:S20" si="3">R19/$C$11</f>
        <v>0</v>
      </c>
      <c r="U19" s="382"/>
      <c r="V19" s="171" t="s">
        <v>121</v>
      </c>
      <c r="W19" s="170"/>
      <c r="X19" s="383">
        <f t="shared" ref="X19:X20" si="4">W19/$C$11</f>
        <v>0</v>
      </c>
      <c r="Z19" s="382"/>
      <c r="AA19" s="171" t="s">
        <v>121</v>
      </c>
      <c r="AB19" s="170"/>
      <c r="AC19" s="383">
        <f t="shared" ref="AC19:AC20" si="5">AB19/$C$11</f>
        <v>0</v>
      </c>
      <c r="AE19" s="382"/>
      <c r="AF19" s="171" t="s">
        <v>121</v>
      </c>
      <c r="AG19" s="170"/>
      <c r="AH19" s="403">
        <f t="shared" ref="AH19:AH20" si="6">AG19/$C$11</f>
        <v>0</v>
      </c>
      <c r="AJ19" s="382"/>
      <c r="AK19" s="171" t="s">
        <v>121</v>
      </c>
      <c r="AL19" s="170"/>
      <c r="AM19" s="403">
        <f t="shared" ref="AM19:AM20" si="7">AL19/$C$11</f>
        <v>0</v>
      </c>
      <c r="AO19" s="382"/>
      <c r="AP19" s="171" t="s">
        <v>121</v>
      </c>
      <c r="AQ19" s="170"/>
      <c r="AR19" s="403">
        <f t="shared" ref="AR19:AR20" si="8">AQ19/$C$11</f>
        <v>0</v>
      </c>
      <c r="AT19" s="382"/>
      <c r="AU19" s="171" t="s">
        <v>121</v>
      </c>
      <c r="AV19" s="170"/>
      <c r="AW19" s="403">
        <f t="shared" ref="AW19:AW20" si="9">AV19/$C$11</f>
        <v>0</v>
      </c>
    </row>
    <row r="20" spans="1:59">
      <c r="A20" s="382"/>
      <c r="B20" s="171" t="s">
        <v>122</v>
      </c>
      <c r="C20" s="170"/>
      <c r="D20" s="403">
        <f t="shared" si="0"/>
        <v>0</v>
      </c>
      <c r="F20" s="382"/>
      <c r="G20" s="171" t="s">
        <v>122</v>
      </c>
      <c r="H20" s="170"/>
      <c r="I20" s="403">
        <f t="shared" si="1"/>
        <v>0</v>
      </c>
      <c r="K20" s="382"/>
      <c r="L20" s="171" t="s">
        <v>122</v>
      </c>
      <c r="M20" s="170"/>
      <c r="N20" s="403">
        <f t="shared" si="2"/>
        <v>0</v>
      </c>
      <c r="P20" s="382"/>
      <c r="Q20" s="171" t="s">
        <v>122</v>
      </c>
      <c r="R20" s="170"/>
      <c r="S20" s="403">
        <f t="shared" si="3"/>
        <v>0</v>
      </c>
      <c r="U20" s="382"/>
      <c r="V20" s="171" t="s">
        <v>122</v>
      </c>
      <c r="W20" s="170"/>
      <c r="X20" s="383">
        <f t="shared" si="4"/>
        <v>0</v>
      </c>
      <c r="Z20" s="382"/>
      <c r="AA20" s="171" t="s">
        <v>122</v>
      </c>
      <c r="AB20" s="170"/>
      <c r="AC20" s="383">
        <f t="shared" si="5"/>
        <v>0</v>
      </c>
      <c r="AE20" s="382"/>
      <c r="AF20" s="171" t="s">
        <v>122</v>
      </c>
      <c r="AG20" s="170"/>
      <c r="AH20" s="403">
        <f t="shared" si="6"/>
        <v>0</v>
      </c>
      <c r="AJ20" s="382"/>
      <c r="AK20" s="171" t="s">
        <v>122</v>
      </c>
      <c r="AL20" s="170"/>
      <c r="AM20" s="403">
        <f t="shared" si="7"/>
        <v>0</v>
      </c>
      <c r="AO20" s="382"/>
      <c r="AP20" s="171" t="s">
        <v>122</v>
      </c>
      <c r="AQ20" s="170"/>
      <c r="AR20" s="403">
        <f t="shared" si="8"/>
        <v>0</v>
      </c>
      <c r="AT20" s="382"/>
      <c r="AU20" s="171" t="s">
        <v>122</v>
      </c>
      <c r="AV20" s="170"/>
      <c r="AW20" s="403">
        <f t="shared" si="9"/>
        <v>0</v>
      </c>
    </row>
    <row r="21" spans="1:59">
      <c r="A21" s="382"/>
      <c r="B21" s="171" t="s">
        <v>123</v>
      </c>
      <c r="C21" s="170"/>
      <c r="D21" s="403"/>
      <c r="F21" s="382"/>
      <c r="G21" s="171" t="s">
        <v>123</v>
      </c>
      <c r="H21" s="170"/>
      <c r="I21" s="403"/>
      <c r="K21" s="382"/>
      <c r="L21" s="171" t="s">
        <v>123</v>
      </c>
      <c r="M21" s="170"/>
      <c r="N21" s="403"/>
      <c r="P21" s="382"/>
      <c r="Q21" s="171" t="s">
        <v>123</v>
      </c>
      <c r="R21" s="170"/>
      <c r="S21" s="403"/>
      <c r="U21" s="382"/>
      <c r="V21" s="171" t="s">
        <v>123</v>
      </c>
      <c r="W21" s="170"/>
      <c r="X21" s="383"/>
      <c r="Z21" s="382"/>
      <c r="AA21" s="171" t="s">
        <v>123</v>
      </c>
      <c r="AB21" s="170"/>
      <c r="AC21" s="383"/>
      <c r="AE21" s="382"/>
      <c r="AF21" s="171" t="s">
        <v>123</v>
      </c>
      <c r="AG21" s="170"/>
      <c r="AH21" s="403"/>
      <c r="AJ21" s="382"/>
      <c r="AK21" s="171" t="s">
        <v>123</v>
      </c>
      <c r="AL21" s="170"/>
      <c r="AM21" s="403"/>
      <c r="AO21" s="382"/>
      <c r="AP21" s="171" t="s">
        <v>123</v>
      </c>
      <c r="AQ21" s="170"/>
      <c r="AR21" s="403"/>
      <c r="AT21" s="382"/>
      <c r="AU21" s="171" t="s">
        <v>123</v>
      </c>
      <c r="AV21" s="170"/>
      <c r="AW21" s="403"/>
    </row>
    <row r="22" spans="1:59" s="158" customFormat="1">
      <c r="A22" s="384"/>
      <c r="B22" s="188" t="s">
        <v>124</v>
      </c>
      <c r="C22" s="174"/>
      <c r="D22" s="404">
        <f>C22/$C$11</f>
        <v>0</v>
      </c>
      <c r="F22" s="384"/>
      <c r="G22" s="188" t="s">
        <v>124</v>
      </c>
      <c r="H22" s="174"/>
      <c r="I22" s="404">
        <f>H22/$C$11</f>
        <v>0</v>
      </c>
      <c r="K22" s="384"/>
      <c r="L22" s="188" t="s">
        <v>124</v>
      </c>
      <c r="M22" s="174"/>
      <c r="N22" s="404">
        <f>M22/$C$11</f>
        <v>0</v>
      </c>
      <c r="P22" s="384"/>
      <c r="Q22" s="188" t="s">
        <v>124</v>
      </c>
      <c r="R22" s="174"/>
      <c r="S22" s="404">
        <f>R22/$C$11</f>
        <v>0</v>
      </c>
      <c r="U22" s="384"/>
      <c r="V22" s="188" t="s">
        <v>124</v>
      </c>
      <c r="W22" s="174"/>
      <c r="X22" s="385">
        <f>W22/$C$11</f>
        <v>0</v>
      </c>
      <c r="Z22" s="384"/>
      <c r="AA22" s="188" t="s">
        <v>124</v>
      </c>
      <c r="AB22" s="174"/>
      <c r="AC22" s="385">
        <f>AB22/$C$11</f>
        <v>0</v>
      </c>
      <c r="AE22" s="384"/>
      <c r="AF22" s="188" t="s">
        <v>124</v>
      </c>
      <c r="AG22" s="174"/>
      <c r="AH22" s="404">
        <f>AG22/$C$11</f>
        <v>0</v>
      </c>
      <c r="AJ22" s="384"/>
      <c r="AK22" s="188" t="s">
        <v>124</v>
      </c>
      <c r="AL22" s="174"/>
      <c r="AM22" s="404">
        <f>AL22/$C$11</f>
        <v>0</v>
      </c>
      <c r="AO22" s="384"/>
      <c r="AP22" s="188" t="s">
        <v>124</v>
      </c>
      <c r="AQ22" s="174"/>
      <c r="AR22" s="404">
        <f>AQ22/$C$11</f>
        <v>0</v>
      </c>
      <c r="AT22" s="384"/>
      <c r="AU22" s="188" t="s">
        <v>124</v>
      </c>
      <c r="AV22" s="174"/>
      <c r="AW22" s="404">
        <f>AV22/$C$11</f>
        <v>0</v>
      </c>
    </row>
    <row r="23" spans="1:59">
      <c r="A23" s="382"/>
      <c r="B23" s="172"/>
      <c r="C23" s="170"/>
      <c r="D23" s="403"/>
      <c r="F23" s="382"/>
      <c r="G23" s="172"/>
      <c r="H23" s="170"/>
      <c r="I23" s="403"/>
      <c r="K23" s="382"/>
      <c r="L23" s="172"/>
      <c r="M23" s="170"/>
      <c r="N23" s="403"/>
      <c r="P23" s="382"/>
      <c r="Q23" s="172"/>
      <c r="R23" s="170"/>
      <c r="S23" s="403"/>
      <c r="U23" s="382"/>
      <c r="V23" s="172"/>
      <c r="W23" s="170"/>
      <c r="X23" s="383"/>
      <c r="Z23" s="382"/>
      <c r="AA23" s="172"/>
      <c r="AB23" s="170"/>
      <c r="AC23" s="383"/>
      <c r="AE23" s="382"/>
      <c r="AF23" s="172"/>
      <c r="AG23" s="170"/>
      <c r="AH23" s="403"/>
      <c r="AJ23" s="382"/>
      <c r="AK23" s="172"/>
      <c r="AL23" s="170"/>
      <c r="AM23" s="403"/>
      <c r="AO23" s="382"/>
      <c r="AP23" s="172"/>
      <c r="AQ23" s="170"/>
      <c r="AR23" s="403"/>
      <c r="AT23" s="382"/>
      <c r="AU23" s="172"/>
      <c r="AV23" s="170"/>
      <c r="AW23" s="403"/>
    </row>
    <row r="24" spans="1:59" s="165" customFormat="1">
      <c r="A24" s="381">
        <v>2</v>
      </c>
      <c r="B24" s="176" t="s">
        <v>125</v>
      </c>
      <c r="C24" s="207"/>
      <c r="D24" s="405">
        <f t="shared" si="0"/>
        <v>0</v>
      </c>
      <c r="E24" s="160"/>
      <c r="F24" s="381">
        <v>2</v>
      </c>
      <c r="G24" s="176" t="s">
        <v>125</v>
      </c>
      <c r="H24" s="207"/>
      <c r="I24" s="405">
        <f t="shared" ref="I24:I25" si="10">H24/$C$11</f>
        <v>0</v>
      </c>
      <c r="J24" s="160"/>
      <c r="K24" s="381">
        <v>2</v>
      </c>
      <c r="L24" s="176" t="s">
        <v>125</v>
      </c>
      <c r="M24" s="207"/>
      <c r="N24" s="405">
        <f t="shared" ref="N24:N25" si="11">M24/$C$11</f>
        <v>0</v>
      </c>
      <c r="O24" s="160"/>
      <c r="P24" s="381">
        <v>2</v>
      </c>
      <c r="Q24" s="176" t="s">
        <v>125</v>
      </c>
      <c r="R24" s="207"/>
      <c r="S24" s="405">
        <f t="shared" ref="S24:S25" si="12">R24/$C$11</f>
        <v>0</v>
      </c>
      <c r="T24" s="160"/>
      <c r="U24" s="381">
        <v>2</v>
      </c>
      <c r="V24" s="176" t="s">
        <v>125</v>
      </c>
      <c r="W24" s="207"/>
      <c r="X24" s="386">
        <f t="shared" ref="X24:X25" si="13">W24/$C$11</f>
        <v>0</v>
      </c>
      <c r="Y24" s="160"/>
      <c r="Z24" s="381">
        <v>2</v>
      </c>
      <c r="AA24" s="176" t="s">
        <v>125</v>
      </c>
      <c r="AB24" s="207"/>
      <c r="AC24" s="386">
        <f t="shared" ref="AC24:AC25" si="14">AB24/$C$11</f>
        <v>0</v>
      </c>
      <c r="AD24" s="160"/>
      <c r="AE24" s="381">
        <v>2</v>
      </c>
      <c r="AF24" s="176" t="s">
        <v>125</v>
      </c>
      <c r="AG24" s="207"/>
      <c r="AH24" s="405">
        <f t="shared" ref="AH24:AH25" si="15">AG24/$C$11</f>
        <v>0</v>
      </c>
      <c r="AI24" s="160"/>
      <c r="AJ24" s="381">
        <v>2</v>
      </c>
      <c r="AK24" s="176" t="s">
        <v>125</v>
      </c>
      <c r="AL24" s="207"/>
      <c r="AM24" s="405">
        <f t="shared" ref="AM24:AM25" si="16">AL24/$C$11</f>
        <v>0</v>
      </c>
      <c r="AN24" s="160"/>
      <c r="AO24" s="381">
        <v>2</v>
      </c>
      <c r="AP24" s="176" t="s">
        <v>125</v>
      </c>
      <c r="AQ24" s="207"/>
      <c r="AR24" s="405">
        <f t="shared" ref="AR24:AR25" si="17">AQ24/$C$11</f>
        <v>0</v>
      </c>
      <c r="AS24" s="160"/>
      <c r="AT24" s="381">
        <v>2</v>
      </c>
      <c r="AU24" s="176" t="s">
        <v>125</v>
      </c>
      <c r="AV24" s="207"/>
      <c r="AW24" s="405">
        <f t="shared" ref="AW24:AW25" si="18">AV24/$C$11</f>
        <v>0</v>
      </c>
      <c r="AX24" s="160"/>
      <c r="AY24" s="160"/>
      <c r="AZ24" s="160"/>
      <c r="BA24" s="160"/>
      <c r="BB24" s="160"/>
      <c r="BC24" s="160"/>
      <c r="BD24" s="160"/>
      <c r="BE24" s="160"/>
      <c r="BF24" s="160"/>
      <c r="BG24" s="160"/>
    </row>
    <row r="25" spans="1:59">
      <c r="A25" s="387"/>
      <c r="B25" s="171" t="s">
        <v>126</v>
      </c>
      <c r="C25" s="185"/>
      <c r="D25" s="403">
        <f t="shared" si="0"/>
        <v>0</v>
      </c>
      <c r="F25" s="387"/>
      <c r="G25" s="171" t="s">
        <v>126</v>
      </c>
      <c r="H25" s="185"/>
      <c r="I25" s="403">
        <f t="shared" si="10"/>
        <v>0</v>
      </c>
      <c r="K25" s="387"/>
      <c r="L25" s="171" t="s">
        <v>126</v>
      </c>
      <c r="M25" s="185"/>
      <c r="N25" s="403">
        <f t="shared" si="11"/>
        <v>0</v>
      </c>
      <c r="P25" s="387"/>
      <c r="Q25" s="171" t="s">
        <v>126</v>
      </c>
      <c r="R25" s="185"/>
      <c r="S25" s="403">
        <f t="shared" si="12"/>
        <v>0</v>
      </c>
      <c r="U25" s="387"/>
      <c r="V25" s="171" t="s">
        <v>126</v>
      </c>
      <c r="W25" s="185"/>
      <c r="X25" s="383">
        <f t="shared" si="13"/>
        <v>0</v>
      </c>
      <c r="Z25" s="387"/>
      <c r="AA25" s="171" t="s">
        <v>126</v>
      </c>
      <c r="AB25" s="185"/>
      <c r="AC25" s="383">
        <f t="shared" si="14"/>
        <v>0</v>
      </c>
      <c r="AE25" s="387"/>
      <c r="AF25" s="171" t="s">
        <v>126</v>
      </c>
      <c r="AG25" s="185"/>
      <c r="AH25" s="403">
        <f t="shared" si="15"/>
        <v>0</v>
      </c>
      <c r="AJ25" s="387"/>
      <c r="AK25" s="171" t="s">
        <v>126</v>
      </c>
      <c r="AL25" s="185"/>
      <c r="AM25" s="403">
        <f t="shared" si="16"/>
        <v>0</v>
      </c>
      <c r="AO25" s="387"/>
      <c r="AP25" s="171" t="s">
        <v>126</v>
      </c>
      <c r="AQ25" s="185"/>
      <c r="AR25" s="403">
        <f t="shared" si="17"/>
        <v>0</v>
      </c>
      <c r="AT25" s="387"/>
      <c r="AU25" s="171" t="s">
        <v>126</v>
      </c>
      <c r="AV25" s="185"/>
      <c r="AW25" s="403">
        <f t="shared" si="18"/>
        <v>0</v>
      </c>
    </row>
    <row r="26" spans="1:59">
      <c r="A26" s="387"/>
      <c r="B26" s="171" t="s">
        <v>127</v>
      </c>
      <c r="C26" s="185"/>
      <c r="D26" s="403">
        <f>C26/$C$11</f>
        <v>0</v>
      </c>
      <c r="F26" s="387"/>
      <c r="G26" s="171" t="s">
        <v>127</v>
      </c>
      <c r="H26" s="185"/>
      <c r="I26" s="403">
        <f>H26/$C$11</f>
        <v>0</v>
      </c>
      <c r="K26" s="387"/>
      <c r="L26" s="171" t="s">
        <v>127</v>
      </c>
      <c r="M26" s="185"/>
      <c r="N26" s="403">
        <f>M26/$C$11</f>
        <v>0</v>
      </c>
      <c r="P26" s="387"/>
      <c r="Q26" s="171" t="s">
        <v>127</v>
      </c>
      <c r="R26" s="185"/>
      <c r="S26" s="403">
        <f>R26/$C$11</f>
        <v>0</v>
      </c>
      <c r="U26" s="387"/>
      <c r="V26" s="171" t="s">
        <v>127</v>
      </c>
      <c r="W26" s="185"/>
      <c r="X26" s="383">
        <f>W26/$C$11</f>
        <v>0</v>
      </c>
      <c r="Z26" s="387"/>
      <c r="AA26" s="171" t="s">
        <v>127</v>
      </c>
      <c r="AB26" s="185"/>
      <c r="AC26" s="383">
        <f>AB26/$C$11</f>
        <v>0</v>
      </c>
      <c r="AE26" s="387"/>
      <c r="AF26" s="171" t="s">
        <v>127</v>
      </c>
      <c r="AG26" s="185"/>
      <c r="AH26" s="403">
        <f>AG26/$C$11</f>
        <v>0</v>
      </c>
      <c r="AJ26" s="387"/>
      <c r="AK26" s="171" t="s">
        <v>127</v>
      </c>
      <c r="AL26" s="185"/>
      <c r="AM26" s="403">
        <f>AL26/$C$11</f>
        <v>0</v>
      </c>
      <c r="AO26" s="387"/>
      <c r="AP26" s="171" t="s">
        <v>127</v>
      </c>
      <c r="AQ26" s="185"/>
      <c r="AR26" s="403">
        <f>AQ26/$C$11</f>
        <v>0</v>
      </c>
      <c r="AT26" s="387"/>
      <c r="AU26" s="171" t="s">
        <v>127</v>
      </c>
      <c r="AV26" s="185"/>
      <c r="AW26" s="403">
        <f>AV26/$C$11</f>
        <v>0</v>
      </c>
    </row>
    <row r="27" spans="1:59">
      <c r="A27" s="387"/>
      <c r="B27" s="171" t="s">
        <v>128</v>
      </c>
      <c r="C27" s="185"/>
      <c r="D27" s="403">
        <f t="shared" si="0"/>
        <v>0</v>
      </c>
      <c r="F27" s="387"/>
      <c r="G27" s="171" t="s">
        <v>128</v>
      </c>
      <c r="H27" s="185"/>
      <c r="I27" s="403">
        <f t="shared" ref="I27:I48" si="19">H27/$C$11</f>
        <v>0</v>
      </c>
      <c r="K27" s="387"/>
      <c r="L27" s="171" t="s">
        <v>128</v>
      </c>
      <c r="M27" s="185"/>
      <c r="N27" s="403">
        <f t="shared" ref="N27:N48" si="20">M27/$C$11</f>
        <v>0</v>
      </c>
      <c r="P27" s="387"/>
      <c r="Q27" s="171" t="s">
        <v>128</v>
      </c>
      <c r="R27" s="185"/>
      <c r="S27" s="403">
        <f t="shared" ref="S27:S48" si="21">R27/$C$11</f>
        <v>0</v>
      </c>
      <c r="U27" s="387"/>
      <c r="V27" s="171" t="s">
        <v>128</v>
      </c>
      <c r="W27" s="185"/>
      <c r="X27" s="383">
        <f t="shared" ref="X27:X48" si="22">W27/$C$11</f>
        <v>0</v>
      </c>
      <c r="Z27" s="387"/>
      <c r="AA27" s="171" t="s">
        <v>128</v>
      </c>
      <c r="AB27" s="185"/>
      <c r="AC27" s="383">
        <f t="shared" ref="AC27:AC48" si="23">AB27/$C$11</f>
        <v>0</v>
      </c>
      <c r="AE27" s="387"/>
      <c r="AF27" s="171" t="s">
        <v>128</v>
      </c>
      <c r="AG27" s="185"/>
      <c r="AH27" s="403">
        <f t="shared" ref="AH27:AH48" si="24">AG27/$C$11</f>
        <v>0</v>
      </c>
      <c r="AJ27" s="387"/>
      <c r="AK27" s="171" t="s">
        <v>128</v>
      </c>
      <c r="AL27" s="185"/>
      <c r="AM27" s="403">
        <f t="shared" ref="AM27:AM48" si="25">AL27/$C$11</f>
        <v>0</v>
      </c>
      <c r="AO27" s="387"/>
      <c r="AP27" s="171" t="s">
        <v>128</v>
      </c>
      <c r="AQ27" s="185"/>
      <c r="AR27" s="403">
        <f t="shared" ref="AR27:AR48" si="26">AQ27/$C$11</f>
        <v>0</v>
      </c>
      <c r="AT27" s="387"/>
      <c r="AU27" s="171" t="s">
        <v>128</v>
      </c>
      <c r="AV27" s="185"/>
      <c r="AW27" s="403">
        <f t="shared" ref="AW27:AW48" si="27">AV27/$C$11</f>
        <v>0</v>
      </c>
    </row>
    <row r="28" spans="1:59">
      <c r="A28" s="387"/>
      <c r="B28" s="171" t="s">
        <v>129</v>
      </c>
      <c r="C28" s="185"/>
      <c r="D28" s="403">
        <f t="shared" si="0"/>
        <v>0</v>
      </c>
      <c r="F28" s="387"/>
      <c r="G28" s="171" t="s">
        <v>129</v>
      </c>
      <c r="H28" s="185"/>
      <c r="I28" s="403">
        <f t="shared" si="19"/>
        <v>0</v>
      </c>
      <c r="K28" s="387"/>
      <c r="L28" s="171" t="s">
        <v>129</v>
      </c>
      <c r="M28" s="185"/>
      <c r="N28" s="403">
        <f t="shared" si="20"/>
        <v>0</v>
      </c>
      <c r="P28" s="387"/>
      <c r="Q28" s="171" t="s">
        <v>129</v>
      </c>
      <c r="R28" s="185"/>
      <c r="S28" s="403">
        <f t="shared" si="21"/>
        <v>0</v>
      </c>
      <c r="U28" s="387"/>
      <c r="V28" s="171" t="s">
        <v>129</v>
      </c>
      <c r="W28" s="185"/>
      <c r="X28" s="383">
        <f t="shared" si="22"/>
        <v>0</v>
      </c>
      <c r="Z28" s="387"/>
      <c r="AA28" s="171" t="s">
        <v>129</v>
      </c>
      <c r="AB28" s="185"/>
      <c r="AC28" s="383">
        <f t="shared" si="23"/>
        <v>0</v>
      </c>
      <c r="AE28" s="387"/>
      <c r="AF28" s="171" t="s">
        <v>129</v>
      </c>
      <c r="AG28" s="185"/>
      <c r="AH28" s="403">
        <f t="shared" si="24"/>
        <v>0</v>
      </c>
      <c r="AJ28" s="387"/>
      <c r="AK28" s="171" t="s">
        <v>129</v>
      </c>
      <c r="AL28" s="185"/>
      <c r="AM28" s="403">
        <f t="shared" si="25"/>
        <v>0</v>
      </c>
      <c r="AO28" s="387"/>
      <c r="AP28" s="171" t="s">
        <v>129</v>
      </c>
      <c r="AQ28" s="185"/>
      <c r="AR28" s="403">
        <f t="shared" si="26"/>
        <v>0</v>
      </c>
      <c r="AT28" s="387"/>
      <c r="AU28" s="171" t="s">
        <v>129</v>
      </c>
      <c r="AV28" s="185"/>
      <c r="AW28" s="403">
        <f t="shared" si="27"/>
        <v>0</v>
      </c>
    </row>
    <row r="29" spans="1:59" s="359" customFormat="1">
      <c r="A29" s="388"/>
      <c r="B29" s="355" t="s">
        <v>130</v>
      </c>
      <c r="C29" s="356"/>
      <c r="D29" s="406">
        <f t="shared" si="0"/>
        <v>0</v>
      </c>
      <c r="E29" s="358"/>
      <c r="F29" s="388"/>
      <c r="G29" s="355" t="s">
        <v>130</v>
      </c>
      <c r="H29" s="356"/>
      <c r="I29" s="406">
        <f t="shared" si="19"/>
        <v>0</v>
      </c>
      <c r="J29" s="358"/>
      <c r="K29" s="388"/>
      <c r="L29" s="355" t="s">
        <v>130</v>
      </c>
      <c r="M29" s="356"/>
      <c r="N29" s="406">
        <f t="shared" si="20"/>
        <v>0</v>
      </c>
      <c r="O29" s="358"/>
      <c r="P29" s="388"/>
      <c r="Q29" s="355" t="s">
        <v>130</v>
      </c>
      <c r="R29" s="356"/>
      <c r="S29" s="406">
        <f t="shared" si="21"/>
        <v>0</v>
      </c>
      <c r="T29" s="358"/>
      <c r="U29" s="388"/>
      <c r="V29" s="355" t="s">
        <v>130</v>
      </c>
      <c r="W29" s="356"/>
      <c r="X29" s="389">
        <f t="shared" si="22"/>
        <v>0</v>
      </c>
      <c r="Y29" s="358"/>
      <c r="Z29" s="388"/>
      <c r="AA29" s="355" t="s">
        <v>130</v>
      </c>
      <c r="AB29" s="356"/>
      <c r="AC29" s="389">
        <f t="shared" si="23"/>
        <v>0</v>
      </c>
      <c r="AD29" s="358"/>
      <c r="AE29" s="388"/>
      <c r="AF29" s="355" t="s">
        <v>130</v>
      </c>
      <c r="AG29" s="356"/>
      <c r="AH29" s="406">
        <f t="shared" si="24"/>
        <v>0</v>
      </c>
      <c r="AI29" s="358"/>
      <c r="AJ29" s="388"/>
      <c r="AK29" s="355" t="s">
        <v>130</v>
      </c>
      <c r="AL29" s="356"/>
      <c r="AM29" s="406">
        <f t="shared" si="25"/>
        <v>0</v>
      </c>
      <c r="AN29" s="358"/>
      <c r="AO29" s="388"/>
      <c r="AP29" s="355" t="s">
        <v>130</v>
      </c>
      <c r="AQ29" s="356"/>
      <c r="AR29" s="406">
        <f t="shared" si="26"/>
        <v>0</v>
      </c>
      <c r="AS29" s="358"/>
      <c r="AT29" s="388"/>
      <c r="AU29" s="355" t="s">
        <v>130</v>
      </c>
      <c r="AV29" s="356"/>
      <c r="AW29" s="406">
        <f t="shared" si="27"/>
        <v>0</v>
      </c>
      <c r="AX29" s="358"/>
      <c r="AY29" s="358"/>
      <c r="AZ29" s="358"/>
      <c r="BA29" s="358"/>
      <c r="BB29" s="358"/>
      <c r="BC29" s="358"/>
      <c r="BD29" s="358"/>
      <c r="BE29" s="358"/>
      <c r="BF29" s="358"/>
      <c r="BG29" s="358"/>
    </row>
    <row r="30" spans="1:59">
      <c r="A30" s="387"/>
      <c r="B30" s="171" t="s">
        <v>131</v>
      </c>
      <c r="C30" s="185"/>
      <c r="D30" s="403">
        <f t="shared" si="0"/>
        <v>0</v>
      </c>
      <c r="F30" s="387"/>
      <c r="G30" s="171" t="s">
        <v>131</v>
      </c>
      <c r="H30" s="185"/>
      <c r="I30" s="403">
        <f t="shared" si="19"/>
        <v>0</v>
      </c>
      <c r="K30" s="387"/>
      <c r="L30" s="171" t="s">
        <v>131</v>
      </c>
      <c r="M30" s="185"/>
      <c r="N30" s="403">
        <f t="shared" si="20"/>
        <v>0</v>
      </c>
      <c r="P30" s="387"/>
      <c r="Q30" s="171" t="s">
        <v>131</v>
      </c>
      <c r="R30" s="185"/>
      <c r="S30" s="403">
        <f t="shared" si="21"/>
        <v>0</v>
      </c>
      <c r="U30" s="387"/>
      <c r="V30" s="171" t="s">
        <v>131</v>
      </c>
      <c r="W30" s="185"/>
      <c r="X30" s="383">
        <f t="shared" si="22"/>
        <v>0</v>
      </c>
      <c r="Z30" s="387"/>
      <c r="AA30" s="171" t="s">
        <v>131</v>
      </c>
      <c r="AB30" s="185"/>
      <c r="AC30" s="383">
        <f t="shared" si="23"/>
        <v>0</v>
      </c>
      <c r="AE30" s="387"/>
      <c r="AF30" s="171" t="s">
        <v>131</v>
      </c>
      <c r="AG30" s="185"/>
      <c r="AH30" s="403">
        <f t="shared" si="24"/>
        <v>0</v>
      </c>
      <c r="AJ30" s="387"/>
      <c r="AK30" s="171" t="s">
        <v>131</v>
      </c>
      <c r="AL30" s="185"/>
      <c r="AM30" s="403">
        <f t="shared" si="25"/>
        <v>0</v>
      </c>
      <c r="AO30" s="387"/>
      <c r="AP30" s="171" t="s">
        <v>131</v>
      </c>
      <c r="AQ30" s="185"/>
      <c r="AR30" s="403">
        <f t="shared" si="26"/>
        <v>0</v>
      </c>
      <c r="AT30" s="387"/>
      <c r="AU30" s="171" t="s">
        <v>131</v>
      </c>
      <c r="AV30" s="185"/>
      <c r="AW30" s="403">
        <f t="shared" si="27"/>
        <v>0</v>
      </c>
    </row>
    <row r="31" spans="1:59" s="359" customFormat="1">
      <c r="A31" s="388"/>
      <c r="B31" s="355" t="s">
        <v>132</v>
      </c>
      <c r="C31" s="356"/>
      <c r="D31" s="406">
        <f t="shared" si="0"/>
        <v>0</v>
      </c>
      <c r="E31" s="358"/>
      <c r="F31" s="388"/>
      <c r="G31" s="355" t="s">
        <v>132</v>
      </c>
      <c r="H31" s="356"/>
      <c r="I31" s="406">
        <f t="shared" si="19"/>
        <v>0</v>
      </c>
      <c r="J31" s="358"/>
      <c r="K31" s="388"/>
      <c r="L31" s="355" t="s">
        <v>132</v>
      </c>
      <c r="M31" s="356"/>
      <c r="N31" s="406">
        <f t="shared" si="20"/>
        <v>0</v>
      </c>
      <c r="O31" s="358"/>
      <c r="P31" s="388"/>
      <c r="Q31" s="355" t="s">
        <v>132</v>
      </c>
      <c r="R31" s="356"/>
      <c r="S31" s="406">
        <f t="shared" si="21"/>
        <v>0</v>
      </c>
      <c r="T31" s="358"/>
      <c r="U31" s="388"/>
      <c r="V31" s="355" t="s">
        <v>132</v>
      </c>
      <c r="W31" s="356"/>
      <c r="X31" s="389">
        <f t="shared" si="22"/>
        <v>0</v>
      </c>
      <c r="Y31" s="358"/>
      <c r="Z31" s="388"/>
      <c r="AA31" s="355" t="s">
        <v>132</v>
      </c>
      <c r="AB31" s="356"/>
      <c r="AC31" s="389">
        <f t="shared" si="23"/>
        <v>0</v>
      </c>
      <c r="AD31" s="358"/>
      <c r="AE31" s="388"/>
      <c r="AF31" s="355" t="s">
        <v>132</v>
      </c>
      <c r="AG31" s="356"/>
      <c r="AH31" s="406">
        <f t="shared" si="24"/>
        <v>0</v>
      </c>
      <c r="AI31" s="358"/>
      <c r="AJ31" s="388"/>
      <c r="AK31" s="355" t="s">
        <v>132</v>
      </c>
      <c r="AL31" s="356"/>
      <c r="AM31" s="406">
        <f t="shared" si="25"/>
        <v>0</v>
      </c>
      <c r="AN31" s="358"/>
      <c r="AO31" s="388"/>
      <c r="AP31" s="355" t="s">
        <v>132</v>
      </c>
      <c r="AQ31" s="356"/>
      <c r="AR31" s="406">
        <f t="shared" si="26"/>
        <v>0</v>
      </c>
      <c r="AS31" s="358"/>
      <c r="AT31" s="388"/>
      <c r="AU31" s="355" t="s">
        <v>132</v>
      </c>
      <c r="AV31" s="356"/>
      <c r="AW31" s="406">
        <f t="shared" si="27"/>
        <v>0</v>
      </c>
      <c r="AX31" s="358"/>
      <c r="AY31" s="358"/>
      <c r="AZ31" s="358"/>
      <c r="BA31" s="358"/>
      <c r="BB31" s="358"/>
      <c r="BC31" s="358"/>
      <c r="BD31" s="358"/>
      <c r="BE31" s="358"/>
      <c r="BF31" s="358"/>
      <c r="BG31" s="358"/>
    </row>
    <row r="32" spans="1:59">
      <c r="A32" s="387"/>
      <c r="B32" s="171" t="s">
        <v>133</v>
      </c>
      <c r="C32" s="185"/>
      <c r="D32" s="403">
        <f t="shared" si="0"/>
        <v>0</v>
      </c>
      <c r="F32" s="387"/>
      <c r="G32" s="171" t="s">
        <v>133</v>
      </c>
      <c r="H32" s="185"/>
      <c r="I32" s="403">
        <f t="shared" si="19"/>
        <v>0</v>
      </c>
      <c r="K32" s="387"/>
      <c r="L32" s="171" t="s">
        <v>133</v>
      </c>
      <c r="M32" s="185"/>
      <c r="N32" s="403">
        <f t="shared" si="20"/>
        <v>0</v>
      </c>
      <c r="P32" s="387"/>
      <c r="Q32" s="171" t="s">
        <v>133</v>
      </c>
      <c r="R32" s="185"/>
      <c r="S32" s="403">
        <f t="shared" si="21"/>
        <v>0</v>
      </c>
      <c r="U32" s="387"/>
      <c r="V32" s="171" t="s">
        <v>133</v>
      </c>
      <c r="W32" s="185"/>
      <c r="X32" s="383">
        <f t="shared" si="22"/>
        <v>0</v>
      </c>
      <c r="Z32" s="387"/>
      <c r="AA32" s="171" t="s">
        <v>133</v>
      </c>
      <c r="AB32" s="185"/>
      <c r="AC32" s="383">
        <f t="shared" si="23"/>
        <v>0</v>
      </c>
      <c r="AE32" s="387"/>
      <c r="AF32" s="171" t="s">
        <v>133</v>
      </c>
      <c r="AG32" s="185"/>
      <c r="AH32" s="403">
        <f t="shared" si="24"/>
        <v>0</v>
      </c>
      <c r="AJ32" s="387"/>
      <c r="AK32" s="171" t="s">
        <v>133</v>
      </c>
      <c r="AL32" s="185"/>
      <c r="AM32" s="403">
        <f t="shared" si="25"/>
        <v>0</v>
      </c>
      <c r="AO32" s="387"/>
      <c r="AP32" s="171" t="s">
        <v>133</v>
      </c>
      <c r="AQ32" s="185"/>
      <c r="AR32" s="403">
        <f t="shared" si="26"/>
        <v>0</v>
      </c>
      <c r="AT32" s="387"/>
      <c r="AU32" s="171" t="s">
        <v>133</v>
      </c>
      <c r="AV32" s="185"/>
      <c r="AW32" s="403">
        <f t="shared" si="27"/>
        <v>0</v>
      </c>
    </row>
    <row r="33" spans="1:59" s="359" customFormat="1">
      <c r="A33" s="388"/>
      <c r="B33" s="355" t="s">
        <v>134</v>
      </c>
      <c r="C33" s="356"/>
      <c r="D33" s="406">
        <f t="shared" si="0"/>
        <v>0</v>
      </c>
      <c r="E33" s="358"/>
      <c r="F33" s="388"/>
      <c r="G33" s="355" t="s">
        <v>134</v>
      </c>
      <c r="H33" s="356"/>
      <c r="I33" s="406">
        <f t="shared" si="19"/>
        <v>0</v>
      </c>
      <c r="J33" s="358"/>
      <c r="K33" s="388"/>
      <c r="L33" s="355" t="s">
        <v>134</v>
      </c>
      <c r="M33" s="356"/>
      <c r="N33" s="406">
        <f t="shared" si="20"/>
        <v>0</v>
      </c>
      <c r="O33" s="358"/>
      <c r="P33" s="388"/>
      <c r="Q33" s="355" t="s">
        <v>134</v>
      </c>
      <c r="R33" s="356"/>
      <c r="S33" s="406">
        <f t="shared" si="21"/>
        <v>0</v>
      </c>
      <c r="T33" s="358"/>
      <c r="U33" s="388"/>
      <c r="V33" s="355" t="s">
        <v>134</v>
      </c>
      <c r="W33" s="356"/>
      <c r="X33" s="389">
        <f t="shared" si="22"/>
        <v>0</v>
      </c>
      <c r="Y33" s="358"/>
      <c r="Z33" s="388"/>
      <c r="AA33" s="355" t="s">
        <v>134</v>
      </c>
      <c r="AB33" s="356"/>
      <c r="AC33" s="389">
        <f t="shared" si="23"/>
        <v>0</v>
      </c>
      <c r="AD33" s="358"/>
      <c r="AE33" s="388"/>
      <c r="AF33" s="355" t="s">
        <v>134</v>
      </c>
      <c r="AG33" s="356"/>
      <c r="AH33" s="406">
        <f t="shared" si="24"/>
        <v>0</v>
      </c>
      <c r="AI33" s="358"/>
      <c r="AJ33" s="388"/>
      <c r="AK33" s="355" t="s">
        <v>134</v>
      </c>
      <c r="AL33" s="356"/>
      <c r="AM33" s="406">
        <f t="shared" si="25"/>
        <v>0</v>
      </c>
      <c r="AN33" s="358"/>
      <c r="AO33" s="388"/>
      <c r="AP33" s="355" t="s">
        <v>134</v>
      </c>
      <c r="AQ33" s="356"/>
      <c r="AR33" s="406">
        <f t="shared" si="26"/>
        <v>0</v>
      </c>
      <c r="AS33" s="358"/>
      <c r="AT33" s="388"/>
      <c r="AU33" s="355" t="s">
        <v>134</v>
      </c>
      <c r="AV33" s="356"/>
      <c r="AW33" s="406">
        <f t="shared" si="27"/>
        <v>0</v>
      </c>
      <c r="AX33" s="358"/>
      <c r="AY33" s="358"/>
      <c r="AZ33" s="358"/>
      <c r="BA33" s="358"/>
      <c r="BB33" s="358"/>
      <c r="BC33" s="358"/>
      <c r="BD33" s="358"/>
      <c r="BE33" s="358"/>
      <c r="BF33" s="358"/>
      <c r="BG33" s="358"/>
    </row>
    <row r="34" spans="1:59">
      <c r="A34" s="387"/>
      <c r="B34" s="171" t="s">
        <v>135</v>
      </c>
      <c r="C34" s="185"/>
      <c r="D34" s="403">
        <f t="shared" si="0"/>
        <v>0</v>
      </c>
      <c r="F34" s="387"/>
      <c r="G34" s="171" t="s">
        <v>135</v>
      </c>
      <c r="H34" s="185"/>
      <c r="I34" s="403">
        <f t="shared" si="19"/>
        <v>0</v>
      </c>
      <c r="K34" s="387"/>
      <c r="L34" s="171" t="s">
        <v>135</v>
      </c>
      <c r="M34" s="185"/>
      <c r="N34" s="403">
        <f t="shared" si="20"/>
        <v>0</v>
      </c>
      <c r="P34" s="387"/>
      <c r="Q34" s="171" t="s">
        <v>135</v>
      </c>
      <c r="R34" s="185"/>
      <c r="S34" s="403">
        <f t="shared" si="21"/>
        <v>0</v>
      </c>
      <c r="U34" s="387"/>
      <c r="V34" s="171" t="s">
        <v>135</v>
      </c>
      <c r="W34" s="185"/>
      <c r="X34" s="383">
        <f t="shared" si="22"/>
        <v>0</v>
      </c>
      <c r="Z34" s="387"/>
      <c r="AA34" s="171" t="s">
        <v>135</v>
      </c>
      <c r="AB34" s="185"/>
      <c r="AC34" s="383">
        <f t="shared" si="23"/>
        <v>0</v>
      </c>
      <c r="AE34" s="387"/>
      <c r="AF34" s="171" t="s">
        <v>135</v>
      </c>
      <c r="AG34" s="185"/>
      <c r="AH34" s="403">
        <f t="shared" si="24"/>
        <v>0</v>
      </c>
      <c r="AJ34" s="387"/>
      <c r="AK34" s="171" t="s">
        <v>135</v>
      </c>
      <c r="AL34" s="185"/>
      <c r="AM34" s="403">
        <f t="shared" si="25"/>
        <v>0</v>
      </c>
      <c r="AO34" s="387"/>
      <c r="AP34" s="171" t="s">
        <v>135</v>
      </c>
      <c r="AQ34" s="185"/>
      <c r="AR34" s="403">
        <f t="shared" si="26"/>
        <v>0</v>
      </c>
      <c r="AT34" s="387"/>
      <c r="AU34" s="171" t="s">
        <v>135</v>
      </c>
      <c r="AV34" s="185"/>
      <c r="AW34" s="403">
        <f t="shared" si="27"/>
        <v>0</v>
      </c>
    </row>
    <row r="35" spans="1:59">
      <c r="A35" s="387"/>
      <c r="B35" s="171" t="s">
        <v>136</v>
      </c>
      <c r="C35" s="185"/>
      <c r="D35" s="403">
        <f t="shared" si="0"/>
        <v>0</v>
      </c>
      <c r="F35" s="387"/>
      <c r="G35" s="171" t="s">
        <v>136</v>
      </c>
      <c r="H35" s="185"/>
      <c r="I35" s="403">
        <f t="shared" si="19"/>
        <v>0</v>
      </c>
      <c r="K35" s="387"/>
      <c r="L35" s="171" t="s">
        <v>136</v>
      </c>
      <c r="M35" s="185"/>
      <c r="N35" s="403">
        <f t="shared" si="20"/>
        <v>0</v>
      </c>
      <c r="P35" s="387"/>
      <c r="Q35" s="171" t="s">
        <v>136</v>
      </c>
      <c r="R35" s="185"/>
      <c r="S35" s="403">
        <f t="shared" si="21"/>
        <v>0</v>
      </c>
      <c r="U35" s="387"/>
      <c r="V35" s="171" t="s">
        <v>136</v>
      </c>
      <c r="W35" s="185"/>
      <c r="X35" s="383">
        <f t="shared" si="22"/>
        <v>0</v>
      </c>
      <c r="Z35" s="387"/>
      <c r="AA35" s="171" t="s">
        <v>136</v>
      </c>
      <c r="AB35" s="185"/>
      <c r="AC35" s="383">
        <f t="shared" si="23"/>
        <v>0</v>
      </c>
      <c r="AE35" s="387"/>
      <c r="AF35" s="171" t="s">
        <v>136</v>
      </c>
      <c r="AG35" s="185"/>
      <c r="AH35" s="403">
        <f t="shared" si="24"/>
        <v>0</v>
      </c>
      <c r="AJ35" s="387"/>
      <c r="AK35" s="171" t="s">
        <v>136</v>
      </c>
      <c r="AL35" s="185"/>
      <c r="AM35" s="403">
        <f t="shared" si="25"/>
        <v>0</v>
      </c>
      <c r="AO35" s="387"/>
      <c r="AP35" s="171" t="s">
        <v>136</v>
      </c>
      <c r="AQ35" s="185"/>
      <c r="AR35" s="403">
        <f t="shared" si="26"/>
        <v>0</v>
      </c>
      <c r="AT35" s="387"/>
      <c r="AU35" s="171" t="s">
        <v>136</v>
      </c>
      <c r="AV35" s="185"/>
      <c r="AW35" s="403">
        <f t="shared" si="27"/>
        <v>0</v>
      </c>
    </row>
    <row r="36" spans="1:59">
      <c r="A36" s="387"/>
      <c r="B36" s="171" t="s">
        <v>137</v>
      </c>
      <c r="C36" s="185"/>
      <c r="D36" s="403">
        <f t="shared" si="0"/>
        <v>0</v>
      </c>
      <c r="F36" s="387"/>
      <c r="G36" s="171" t="s">
        <v>137</v>
      </c>
      <c r="H36" s="185"/>
      <c r="I36" s="403">
        <f t="shared" si="19"/>
        <v>0</v>
      </c>
      <c r="K36" s="387"/>
      <c r="L36" s="171" t="s">
        <v>137</v>
      </c>
      <c r="M36" s="185"/>
      <c r="N36" s="403">
        <f t="shared" si="20"/>
        <v>0</v>
      </c>
      <c r="P36" s="387"/>
      <c r="Q36" s="171" t="s">
        <v>137</v>
      </c>
      <c r="R36" s="185"/>
      <c r="S36" s="403">
        <f t="shared" si="21"/>
        <v>0</v>
      </c>
      <c r="U36" s="387"/>
      <c r="V36" s="171" t="s">
        <v>137</v>
      </c>
      <c r="W36" s="185"/>
      <c r="X36" s="383">
        <f t="shared" si="22"/>
        <v>0</v>
      </c>
      <c r="Z36" s="387"/>
      <c r="AA36" s="171" t="s">
        <v>137</v>
      </c>
      <c r="AB36" s="185"/>
      <c r="AC36" s="383">
        <f t="shared" si="23"/>
        <v>0</v>
      </c>
      <c r="AE36" s="387"/>
      <c r="AF36" s="171" t="s">
        <v>137</v>
      </c>
      <c r="AG36" s="185"/>
      <c r="AH36" s="403">
        <f t="shared" si="24"/>
        <v>0</v>
      </c>
      <c r="AJ36" s="387"/>
      <c r="AK36" s="171" t="s">
        <v>137</v>
      </c>
      <c r="AL36" s="185"/>
      <c r="AM36" s="403">
        <f t="shared" si="25"/>
        <v>0</v>
      </c>
      <c r="AO36" s="387"/>
      <c r="AP36" s="171" t="s">
        <v>137</v>
      </c>
      <c r="AQ36" s="185"/>
      <c r="AR36" s="403">
        <f t="shared" si="26"/>
        <v>0</v>
      </c>
      <c r="AT36" s="387"/>
      <c r="AU36" s="171" t="s">
        <v>137</v>
      </c>
      <c r="AV36" s="185"/>
      <c r="AW36" s="403">
        <f t="shared" si="27"/>
        <v>0</v>
      </c>
    </row>
    <row r="37" spans="1:59">
      <c r="A37" s="387"/>
      <c r="B37" s="171" t="s">
        <v>138</v>
      </c>
      <c r="C37" s="185"/>
      <c r="D37" s="403">
        <f t="shared" si="0"/>
        <v>0</v>
      </c>
      <c r="F37" s="387"/>
      <c r="G37" s="171" t="s">
        <v>138</v>
      </c>
      <c r="H37" s="185"/>
      <c r="I37" s="403">
        <f t="shared" si="19"/>
        <v>0</v>
      </c>
      <c r="K37" s="387"/>
      <c r="L37" s="171" t="s">
        <v>138</v>
      </c>
      <c r="M37" s="185"/>
      <c r="N37" s="403">
        <f t="shared" si="20"/>
        <v>0</v>
      </c>
      <c r="P37" s="387"/>
      <c r="Q37" s="171" t="s">
        <v>138</v>
      </c>
      <c r="R37" s="185"/>
      <c r="S37" s="403">
        <f t="shared" si="21"/>
        <v>0</v>
      </c>
      <c r="U37" s="387"/>
      <c r="V37" s="171" t="s">
        <v>138</v>
      </c>
      <c r="W37" s="185"/>
      <c r="X37" s="383">
        <f t="shared" si="22"/>
        <v>0</v>
      </c>
      <c r="Z37" s="387"/>
      <c r="AA37" s="171" t="s">
        <v>138</v>
      </c>
      <c r="AB37" s="185"/>
      <c r="AC37" s="383">
        <f t="shared" si="23"/>
        <v>0</v>
      </c>
      <c r="AE37" s="387"/>
      <c r="AF37" s="171" t="s">
        <v>138</v>
      </c>
      <c r="AG37" s="185"/>
      <c r="AH37" s="403">
        <f t="shared" si="24"/>
        <v>0</v>
      </c>
      <c r="AJ37" s="387"/>
      <c r="AK37" s="171" t="s">
        <v>138</v>
      </c>
      <c r="AL37" s="185"/>
      <c r="AM37" s="403">
        <f t="shared" si="25"/>
        <v>0</v>
      </c>
      <c r="AO37" s="387"/>
      <c r="AP37" s="171" t="s">
        <v>138</v>
      </c>
      <c r="AQ37" s="185"/>
      <c r="AR37" s="403">
        <f t="shared" si="26"/>
        <v>0</v>
      </c>
      <c r="AT37" s="387"/>
      <c r="AU37" s="171" t="s">
        <v>138</v>
      </c>
      <c r="AV37" s="185"/>
      <c r="AW37" s="403">
        <f t="shared" si="27"/>
        <v>0</v>
      </c>
    </row>
    <row r="38" spans="1:59">
      <c r="A38" s="387"/>
      <c r="B38" s="171" t="s">
        <v>139</v>
      </c>
      <c r="C38" s="185"/>
      <c r="D38" s="403">
        <f t="shared" si="0"/>
        <v>0</v>
      </c>
      <c r="F38" s="387"/>
      <c r="G38" s="171" t="s">
        <v>139</v>
      </c>
      <c r="H38" s="185"/>
      <c r="I38" s="403">
        <f t="shared" si="19"/>
        <v>0</v>
      </c>
      <c r="K38" s="387"/>
      <c r="L38" s="171" t="s">
        <v>139</v>
      </c>
      <c r="M38" s="185"/>
      <c r="N38" s="403">
        <f t="shared" si="20"/>
        <v>0</v>
      </c>
      <c r="P38" s="387"/>
      <c r="Q38" s="171" t="s">
        <v>139</v>
      </c>
      <c r="R38" s="185"/>
      <c r="S38" s="403">
        <f t="shared" si="21"/>
        <v>0</v>
      </c>
      <c r="U38" s="387"/>
      <c r="V38" s="171" t="s">
        <v>139</v>
      </c>
      <c r="W38" s="185"/>
      <c r="X38" s="383">
        <f t="shared" si="22"/>
        <v>0</v>
      </c>
      <c r="Z38" s="387"/>
      <c r="AA38" s="171" t="s">
        <v>139</v>
      </c>
      <c r="AB38" s="185"/>
      <c r="AC38" s="383">
        <f t="shared" si="23"/>
        <v>0</v>
      </c>
      <c r="AE38" s="387"/>
      <c r="AF38" s="171" t="s">
        <v>139</v>
      </c>
      <c r="AG38" s="185"/>
      <c r="AH38" s="403">
        <f t="shared" si="24"/>
        <v>0</v>
      </c>
      <c r="AJ38" s="387"/>
      <c r="AK38" s="171" t="s">
        <v>139</v>
      </c>
      <c r="AL38" s="185"/>
      <c r="AM38" s="403">
        <f t="shared" si="25"/>
        <v>0</v>
      </c>
      <c r="AO38" s="387"/>
      <c r="AP38" s="171" t="s">
        <v>139</v>
      </c>
      <c r="AQ38" s="185"/>
      <c r="AR38" s="403">
        <f t="shared" si="26"/>
        <v>0</v>
      </c>
      <c r="AT38" s="387"/>
      <c r="AU38" s="171" t="s">
        <v>139</v>
      </c>
      <c r="AV38" s="185"/>
      <c r="AW38" s="403">
        <f t="shared" si="27"/>
        <v>0</v>
      </c>
    </row>
    <row r="39" spans="1:59">
      <c r="A39" s="387"/>
      <c r="B39" s="171" t="s">
        <v>140</v>
      </c>
      <c r="C39" s="185"/>
      <c r="D39" s="403">
        <f t="shared" si="0"/>
        <v>0</v>
      </c>
      <c r="F39" s="387"/>
      <c r="G39" s="171" t="s">
        <v>140</v>
      </c>
      <c r="H39" s="185"/>
      <c r="I39" s="403">
        <f t="shared" si="19"/>
        <v>0</v>
      </c>
      <c r="K39" s="387"/>
      <c r="L39" s="171" t="s">
        <v>140</v>
      </c>
      <c r="M39" s="185"/>
      <c r="N39" s="403">
        <f t="shared" si="20"/>
        <v>0</v>
      </c>
      <c r="P39" s="387"/>
      <c r="Q39" s="171" t="s">
        <v>140</v>
      </c>
      <c r="R39" s="185"/>
      <c r="S39" s="403">
        <f t="shared" si="21"/>
        <v>0</v>
      </c>
      <c r="U39" s="387"/>
      <c r="V39" s="171" t="s">
        <v>140</v>
      </c>
      <c r="W39" s="185"/>
      <c r="X39" s="383">
        <f t="shared" si="22"/>
        <v>0</v>
      </c>
      <c r="Z39" s="387"/>
      <c r="AA39" s="171" t="s">
        <v>140</v>
      </c>
      <c r="AB39" s="185"/>
      <c r="AC39" s="383">
        <f t="shared" si="23"/>
        <v>0</v>
      </c>
      <c r="AE39" s="387"/>
      <c r="AF39" s="171" t="s">
        <v>140</v>
      </c>
      <c r="AG39" s="185"/>
      <c r="AH39" s="403">
        <f t="shared" si="24"/>
        <v>0</v>
      </c>
      <c r="AJ39" s="387"/>
      <c r="AK39" s="171" t="s">
        <v>140</v>
      </c>
      <c r="AL39" s="185"/>
      <c r="AM39" s="403">
        <f t="shared" si="25"/>
        <v>0</v>
      </c>
      <c r="AO39" s="387"/>
      <c r="AP39" s="171" t="s">
        <v>140</v>
      </c>
      <c r="AQ39" s="185"/>
      <c r="AR39" s="403">
        <f t="shared" si="26"/>
        <v>0</v>
      </c>
      <c r="AT39" s="387"/>
      <c r="AU39" s="171" t="s">
        <v>140</v>
      </c>
      <c r="AV39" s="185"/>
      <c r="AW39" s="403">
        <f t="shared" si="27"/>
        <v>0</v>
      </c>
    </row>
    <row r="40" spans="1:59" s="359" customFormat="1">
      <c r="A40" s="388"/>
      <c r="B40" s="355" t="s">
        <v>141</v>
      </c>
      <c r="C40" s="356"/>
      <c r="D40" s="406">
        <f t="shared" si="0"/>
        <v>0</v>
      </c>
      <c r="E40" s="358"/>
      <c r="F40" s="388"/>
      <c r="G40" s="355" t="s">
        <v>141</v>
      </c>
      <c r="H40" s="356"/>
      <c r="I40" s="406">
        <f t="shared" si="19"/>
        <v>0</v>
      </c>
      <c r="J40" s="358"/>
      <c r="K40" s="388"/>
      <c r="L40" s="355" t="s">
        <v>141</v>
      </c>
      <c r="M40" s="356"/>
      <c r="N40" s="406">
        <f t="shared" si="20"/>
        <v>0</v>
      </c>
      <c r="O40" s="358"/>
      <c r="P40" s="388"/>
      <c r="Q40" s="355" t="s">
        <v>141</v>
      </c>
      <c r="R40" s="356"/>
      <c r="S40" s="406">
        <f t="shared" si="21"/>
        <v>0</v>
      </c>
      <c r="T40" s="358"/>
      <c r="U40" s="388"/>
      <c r="V40" s="355" t="s">
        <v>141</v>
      </c>
      <c r="W40" s="356"/>
      <c r="X40" s="389">
        <f t="shared" si="22"/>
        <v>0</v>
      </c>
      <c r="Y40" s="358"/>
      <c r="Z40" s="388"/>
      <c r="AA40" s="355" t="s">
        <v>141</v>
      </c>
      <c r="AB40" s="356"/>
      <c r="AC40" s="389">
        <f t="shared" si="23"/>
        <v>0</v>
      </c>
      <c r="AD40" s="358"/>
      <c r="AE40" s="388"/>
      <c r="AF40" s="355" t="s">
        <v>141</v>
      </c>
      <c r="AG40" s="356"/>
      <c r="AH40" s="406">
        <f t="shared" si="24"/>
        <v>0</v>
      </c>
      <c r="AI40" s="358"/>
      <c r="AJ40" s="388"/>
      <c r="AK40" s="355" t="s">
        <v>141</v>
      </c>
      <c r="AL40" s="356"/>
      <c r="AM40" s="406">
        <f t="shared" si="25"/>
        <v>0</v>
      </c>
      <c r="AN40" s="358"/>
      <c r="AO40" s="388"/>
      <c r="AP40" s="355" t="s">
        <v>141</v>
      </c>
      <c r="AQ40" s="356"/>
      <c r="AR40" s="406">
        <f t="shared" si="26"/>
        <v>0</v>
      </c>
      <c r="AS40" s="358"/>
      <c r="AT40" s="388"/>
      <c r="AU40" s="355" t="s">
        <v>141</v>
      </c>
      <c r="AV40" s="356"/>
      <c r="AW40" s="406">
        <f t="shared" si="27"/>
        <v>0</v>
      </c>
      <c r="AX40" s="358"/>
      <c r="AY40" s="358"/>
      <c r="AZ40" s="358"/>
      <c r="BA40" s="358"/>
      <c r="BB40" s="358"/>
      <c r="BC40" s="358"/>
      <c r="BD40" s="358"/>
      <c r="BE40" s="358"/>
      <c r="BF40" s="358"/>
      <c r="BG40" s="358"/>
    </row>
    <row r="41" spans="1:59">
      <c r="A41" s="387"/>
      <c r="B41" s="171" t="s">
        <v>142</v>
      </c>
      <c r="C41" s="185"/>
      <c r="D41" s="403">
        <f t="shared" si="0"/>
        <v>0</v>
      </c>
      <c r="F41" s="387"/>
      <c r="G41" s="171" t="s">
        <v>142</v>
      </c>
      <c r="H41" s="185"/>
      <c r="I41" s="403">
        <f t="shared" si="19"/>
        <v>0</v>
      </c>
      <c r="K41" s="387"/>
      <c r="L41" s="171" t="s">
        <v>142</v>
      </c>
      <c r="M41" s="185"/>
      <c r="N41" s="403">
        <f t="shared" si="20"/>
        <v>0</v>
      </c>
      <c r="P41" s="387"/>
      <c r="Q41" s="171" t="s">
        <v>142</v>
      </c>
      <c r="R41" s="185"/>
      <c r="S41" s="403">
        <f t="shared" si="21"/>
        <v>0</v>
      </c>
      <c r="U41" s="387"/>
      <c r="V41" s="171" t="s">
        <v>142</v>
      </c>
      <c r="W41" s="185"/>
      <c r="X41" s="383">
        <f t="shared" si="22"/>
        <v>0</v>
      </c>
      <c r="Z41" s="387"/>
      <c r="AA41" s="171" t="s">
        <v>142</v>
      </c>
      <c r="AB41" s="185"/>
      <c r="AC41" s="383">
        <f t="shared" si="23"/>
        <v>0</v>
      </c>
      <c r="AE41" s="387"/>
      <c r="AF41" s="171" t="s">
        <v>142</v>
      </c>
      <c r="AG41" s="185"/>
      <c r="AH41" s="403">
        <f t="shared" si="24"/>
        <v>0</v>
      </c>
      <c r="AJ41" s="387"/>
      <c r="AK41" s="171" t="s">
        <v>142</v>
      </c>
      <c r="AL41" s="185"/>
      <c r="AM41" s="403">
        <f t="shared" si="25"/>
        <v>0</v>
      </c>
      <c r="AO41" s="387"/>
      <c r="AP41" s="171" t="s">
        <v>142</v>
      </c>
      <c r="AQ41" s="185"/>
      <c r="AR41" s="403">
        <f t="shared" si="26"/>
        <v>0</v>
      </c>
      <c r="AT41" s="387"/>
      <c r="AU41" s="171" t="s">
        <v>142</v>
      </c>
      <c r="AV41" s="185"/>
      <c r="AW41" s="403">
        <f t="shared" si="27"/>
        <v>0</v>
      </c>
    </row>
    <row r="42" spans="1:59" s="359" customFormat="1">
      <c r="A42" s="388"/>
      <c r="B42" s="355" t="s">
        <v>143</v>
      </c>
      <c r="C42" s="356"/>
      <c r="D42" s="406">
        <f t="shared" si="0"/>
        <v>0</v>
      </c>
      <c r="E42" s="358"/>
      <c r="F42" s="388"/>
      <c r="G42" s="355" t="s">
        <v>143</v>
      </c>
      <c r="H42" s="356"/>
      <c r="I42" s="406">
        <f t="shared" si="19"/>
        <v>0</v>
      </c>
      <c r="J42" s="358"/>
      <c r="K42" s="388"/>
      <c r="L42" s="355" t="s">
        <v>143</v>
      </c>
      <c r="M42" s="356"/>
      <c r="N42" s="406">
        <f t="shared" si="20"/>
        <v>0</v>
      </c>
      <c r="O42" s="358"/>
      <c r="P42" s="388"/>
      <c r="Q42" s="355" t="s">
        <v>143</v>
      </c>
      <c r="R42" s="356"/>
      <c r="S42" s="406">
        <f t="shared" si="21"/>
        <v>0</v>
      </c>
      <c r="T42" s="358"/>
      <c r="U42" s="388"/>
      <c r="V42" s="355" t="s">
        <v>143</v>
      </c>
      <c r="W42" s="356"/>
      <c r="X42" s="389">
        <f t="shared" si="22"/>
        <v>0</v>
      </c>
      <c r="Y42" s="358"/>
      <c r="Z42" s="388"/>
      <c r="AA42" s="355" t="s">
        <v>143</v>
      </c>
      <c r="AB42" s="356"/>
      <c r="AC42" s="389">
        <f t="shared" si="23"/>
        <v>0</v>
      </c>
      <c r="AD42" s="358"/>
      <c r="AE42" s="388"/>
      <c r="AF42" s="355" t="s">
        <v>143</v>
      </c>
      <c r="AG42" s="356"/>
      <c r="AH42" s="406">
        <f t="shared" si="24"/>
        <v>0</v>
      </c>
      <c r="AI42" s="358"/>
      <c r="AJ42" s="388"/>
      <c r="AK42" s="355" t="s">
        <v>143</v>
      </c>
      <c r="AL42" s="356"/>
      <c r="AM42" s="406">
        <f t="shared" si="25"/>
        <v>0</v>
      </c>
      <c r="AN42" s="358"/>
      <c r="AO42" s="388"/>
      <c r="AP42" s="355" t="s">
        <v>143</v>
      </c>
      <c r="AQ42" s="356"/>
      <c r="AR42" s="406">
        <f t="shared" si="26"/>
        <v>0</v>
      </c>
      <c r="AS42" s="358"/>
      <c r="AT42" s="388"/>
      <c r="AU42" s="355" t="s">
        <v>143</v>
      </c>
      <c r="AV42" s="356"/>
      <c r="AW42" s="406">
        <f t="shared" si="27"/>
        <v>0</v>
      </c>
      <c r="AX42" s="358"/>
      <c r="AY42" s="358"/>
      <c r="AZ42" s="358"/>
      <c r="BA42" s="358"/>
      <c r="BB42" s="358"/>
      <c r="BC42" s="358"/>
      <c r="BD42" s="358"/>
      <c r="BE42" s="358"/>
      <c r="BF42" s="358"/>
      <c r="BG42" s="358"/>
    </row>
    <row r="43" spans="1:59" s="365" customFormat="1">
      <c r="A43" s="390"/>
      <c r="B43" s="361" t="s">
        <v>144</v>
      </c>
      <c r="C43" s="362"/>
      <c r="D43" s="407">
        <f t="shared" si="0"/>
        <v>0</v>
      </c>
      <c r="E43" s="364"/>
      <c r="F43" s="390"/>
      <c r="G43" s="361" t="s">
        <v>144</v>
      </c>
      <c r="H43" s="362"/>
      <c r="I43" s="407">
        <f t="shared" si="19"/>
        <v>0</v>
      </c>
      <c r="J43" s="364"/>
      <c r="K43" s="390"/>
      <c r="L43" s="361" t="s">
        <v>144</v>
      </c>
      <c r="M43" s="362"/>
      <c r="N43" s="407">
        <f t="shared" si="20"/>
        <v>0</v>
      </c>
      <c r="O43" s="364"/>
      <c r="P43" s="390"/>
      <c r="Q43" s="361" t="s">
        <v>144</v>
      </c>
      <c r="R43" s="362"/>
      <c r="S43" s="407">
        <f t="shared" si="21"/>
        <v>0</v>
      </c>
      <c r="T43" s="364"/>
      <c r="U43" s="390"/>
      <c r="V43" s="361" t="s">
        <v>144</v>
      </c>
      <c r="W43" s="362"/>
      <c r="X43" s="391">
        <f t="shared" si="22"/>
        <v>0</v>
      </c>
      <c r="Y43" s="364"/>
      <c r="Z43" s="390"/>
      <c r="AA43" s="361" t="s">
        <v>144</v>
      </c>
      <c r="AB43" s="362"/>
      <c r="AC43" s="391">
        <f t="shared" si="23"/>
        <v>0</v>
      </c>
      <c r="AD43" s="364"/>
      <c r="AE43" s="390"/>
      <c r="AF43" s="361" t="s">
        <v>144</v>
      </c>
      <c r="AG43" s="362"/>
      <c r="AH43" s="407">
        <f t="shared" si="24"/>
        <v>0</v>
      </c>
      <c r="AI43" s="364"/>
      <c r="AJ43" s="390"/>
      <c r="AK43" s="361" t="s">
        <v>144</v>
      </c>
      <c r="AL43" s="362"/>
      <c r="AM43" s="407">
        <f t="shared" si="25"/>
        <v>0</v>
      </c>
      <c r="AN43" s="364"/>
      <c r="AO43" s="390"/>
      <c r="AP43" s="361" t="s">
        <v>144</v>
      </c>
      <c r="AQ43" s="362"/>
      <c r="AR43" s="407">
        <f t="shared" si="26"/>
        <v>0</v>
      </c>
      <c r="AS43" s="364"/>
      <c r="AT43" s="390"/>
      <c r="AU43" s="361" t="s">
        <v>144</v>
      </c>
      <c r="AV43" s="362"/>
      <c r="AW43" s="407">
        <f t="shared" si="27"/>
        <v>0</v>
      </c>
      <c r="AX43" s="364"/>
      <c r="AY43" s="364"/>
      <c r="AZ43" s="364"/>
      <c r="BA43" s="364"/>
      <c r="BB43" s="364"/>
      <c r="BC43" s="364"/>
      <c r="BD43" s="364"/>
      <c r="BE43" s="364"/>
      <c r="BF43" s="364"/>
      <c r="BG43" s="364"/>
    </row>
    <row r="44" spans="1:59">
      <c r="A44" s="387"/>
      <c r="B44" s="171" t="s">
        <v>145</v>
      </c>
      <c r="C44" s="185"/>
      <c r="D44" s="403">
        <f t="shared" si="0"/>
        <v>0</v>
      </c>
      <c r="F44" s="387"/>
      <c r="G44" s="171" t="s">
        <v>145</v>
      </c>
      <c r="H44" s="185"/>
      <c r="I44" s="403">
        <f t="shared" si="19"/>
        <v>0</v>
      </c>
      <c r="K44" s="387"/>
      <c r="L44" s="171" t="s">
        <v>145</v>
      </c>
      <c r="M44" s="185"/>
      <c r="N44" s="403">
        <f t="shared" si="20"/>
        <v>0</v>
      </c>
      <c r="P44" s="387"/>
      <c r="Q44" s="171" t="s">
        <v>145</v>
      </c>
      <c r="R44" s="185"/>
      <c r="S44" s="403">
        <f t="shared" si="21"/>
        <v>0</v>
      </c>
      <c r="U44" s="387"/>
      <c r="V44" s="171" t="s">
        <v>145</v>
      </c>
      <c r="W44" s="185"/>
      <c r="X44" s="383">
        <f t="shared" si="22"/>
        <v>0</v>
      </c>
      <c r="Z44" s="387"/>
      <c r="AA44" s="171" t="s">
        <v>145</v>
      </c>
      <c r="AB44" s="185"/>
      <c r="AC44" s="383">
        <f t="shared" si="23"/>
        <v>0</v>
      </c>
      <c r="AE44" s="387"/>
      <c r="AF44" s="171" t="s">
        <v>145</v>
      </c>
      <c r="AG44" s="185"/>
      <c r="AH44" s="403">
        <f t="shared" si="24"/>
        <v>0</v>
      </c>
      <c r="AJ44" s="387"/>
      <c r="AK44" s="171" t="s">
        <v>145</v>
      </c>
      <c r="AL44" s="185"/>
      <c r="AM44" s="403">
        <f t="shared" si="25"/>
        <v>0</v>
      </c>
      <c r="AO44" s="387"/>
      <c r="AP44" s="171" t="s">
        <v>145</v>
      </c>
      <c r="AQ44" s="185"/>
      <c r="AR44" s="403">
        <f t="shared" si="26"/>
        <v>0</v>
      </c>
      <c r="AT44" s="387"/>
      <c r="AU44" s="171" t="s">
        <v>145</v>
      </c>
      <c r="AV44" s="185"/>
      <c r="AW44" s="403">
        <f t="shared" si="27"/>
        <v>0</v>
      </c>
    </row>
    <row r="45" spans="1:59">
      <c r="A45" s="387"/>
      <c r="B45" s="171" t="s">
        <v>146</v>
      </c>
      <c r="C45" s="185"/>
      <c r="D45" s="403">
        <f t="shared" si="0"/>
        <v>0</v>
      </c>
      <c r="F45" s="387"/>
      <c r="G45" s="171" t="s">
        <v>146</v>
      </c>
      <c r="H45" s="185"/>
      <c r="I45" s="403">
        <f t="shared" si="19"/>
        <v>0</v>
      </c>
      <c r="K45" s="387"/>
      <c r="L45" s="171" t="s">
        <v>146</v>
      </c>
      <c r="M45" s="185"/>
      <c r="N45" s="403">
        <f t="shared" si="20"/>
        <v>0</v>
      </c>
      <c r="P45" s="387"/>
      <c r="Q45" s="171" t="s">
        <v>146</v>
      </c>
      <c r="R45" s="185"/>
      <c r="S45" s="403">
        <f t="shared" si="21"/>
        <v>0</v>
      </c>
      <c r="U45" s="387"/>
      <c r="V45" s="171" t="s">
        <v>146</v>
      </c>
      <c r="W45" s="185"/>
      <c r="X45" s="383">
        <f t="shared" si="22"/>
        <v>0</v>
      </c>
      <c r="Z45" s="387"/>
      <c r="AA45" s="171" t="s">
        <v>146</v>
      </c>
      <c r="AB45" s="185"/>
      <c r="AC45" s="383">
        <f t="shared" si="23"/>
        <v>0</v>
      </c>
      <c r="AE45" s="387"/>
      <c r="AF45" s="171" t="s">
        <v>146</v>
      </c>
      <c r="AG45" s="185"/>
      <c r="AH45" s="403">
        <f t="shared" si="24"/>
        <v>0</v>
      </c>
      <c r="AJ45" s="387"/>
      <c r="AK45" s="171" t="s">
        <v>146</v>
      </c>
      <c r="AL45" s="185"/>
      <c r="AM45" s="403">
        <f t="shared" si="25"/>
        <v>0</v>
      </c>
      <c r="AO45" s="387"/>
      <c r="AP45" s="171" t="s">
        <v>146</v>
      </c>
      <c r="AQ45" s="185"/>
      <c r="AR45" s="403">
        <f t="shared" si="26"/>
        <v>0</v>
      </c>
      <c r="AT45" s="387"/>
      <c r="AU45" s="171" t="s">
        <v>146</v>
      </c>
      <c r="AV45" s="185"/>
      <c r="AW45" s="403">
        <f t="shared" si="27"/>
        <v>0</v>
      </c>
    </row>
    <row r="46" spans="1:59" s="359" customFormat="1">
      <c r="A46" s="388"/>
      <c r="B46" s="355" t="s">
        <v>147</v>
      </c>
      <c r="C46" s="356"/>
      <c r="D46" s="406">
        <f t="shared" si="0"/>
        <v>0</v>
      </c>
      <c r="E46" s="358"/>
      <c r="F46" s="388"/>
      <c r="G46" s="355" t="s">
        <v>147</v>
      </c>
      <c r="H46" s="356"/>
      <c r="I46" s="406">
        <f t="shared" si="19"/>
        <v>0</v>
      </c>
      <c r="J46" s="358"/>
      <c r="K46" s="388"/>
      <c r="L46" s="355" t="s">
        <v>147</v>
      </c>
      <c r="M46" s="356"/>
      <c r="N46" s="406">
        <f t="shared" si="20"/>
        <v>0</v>
      </c>
      <c r="O46" s="358"/>
      <c r="P46" s="388"/>
      <c r="Q46" s="355" t="s">
        <v>147</v>
      </c>
      <c r="R46" s="356"/>
      <c r="S46" s="406">
        <f t="shared" si="21"/>
        <v>0</v>
      </c>
      <c r="T46" s="358"/>
      <c r="U46" s="388"/>
      <c r="V46" s="355" t="s">
        <v>147</v>
      </c>
      <c r="W46" s="356"/>
      <c r="X46" s="389">
        <f t="shared" si="22"/>
        <v>0</v>
      </c>
      <c r="Y46" s="358"/>
      <c r="Z46" s="388"/>
      <c r="AA46" s="355" t="s">
        <v>147</v>
      </c>
      <c r="AB46" s="356"/>
      <c r="AC46" s="389">
        <f t="shared" si="23"/>
        <v>0</v>
      </c>
      <c r="AD46" s="358"/>
      <c r="AE46" s="388"/>
      <c r="AF46" s="355" t="s">
        <v>147</v>
      </c>
      <c r="AG46" s="356"/>
      <c r="AH46" s="406">
        <f t="shared" si="24"/>
        <v>0</v>
      </c>
      <c r="AI46" s="358"/>
      <c r="AJ46" s="388"/>
      <c r="AK46" s="355" t="s">
        <v>147</v>
      </c>
      <c r="AL46" s="356"/>
      <c r="AM46" s="406">
        <f t="shared" si="25"/>
        <v>0</v>
      </c>
      <c r="AN46" s="358"/>
      <c r="AO46" s="388"/>
      <c r="AP46" s="355" t="s">
        <v>147</v>
      </c>
      <c r="AQ46" s="356"/>
      <c r="AR46" s="406">
        <f t="shared" si="26"/>
        <v>0</v>
      </c>
      <c r="AS46" s="358"/>
      <c r="AT46" s="388"/>
      <c r="AU46" s="355" t="s">
        <v>147</v>
      </c>
      <c r="AV46" s="356"/>
      <c r="AW46" s="406">
        <f t="shared" si="27"/>
        <v>0</v>
      </c>
      <c r="AX46" s="358"/>
      <c r="AY46" s="358"/>
      <c r="AZ46" s="358"/>
      <c r="BA46" s="358"/>
      <c r="BB46" s="358"/>
      <c r="BC46" s="358"/>
      <c r="BD46" s="358"/>
      <c r="BE46" s="358"/>
      <c r="BF46" s="358"/>
      <c r="BG46" s="358"/>
    </row>
    <row r="47" spans="1:59" s="359" customFormat="1">
      <c r="A47" s="388"/>
      <c r="B47" s="355" t="s">
        <v>148</v>
      </c>
      <c r="C47" s="356"/>
      <c r="D47" s="406">
        <f t="shared" si="0"/>
        <v>0</v>
      </c>
      <c r="E47" s="358"/>
      <c r="F47" s="388"/>
      <c r="G47" s="355" t="s">
        <v>148</v>
      </c>
      <c r="H47" s="356"/>
      <c r="I47" s="406">
        <f t="shared" si="19"/>
        <v>0</v>
      </c>
      <c r="J47" s="358"/>
      <c r="K47" s="388"/>
      <c r="L47" s="355" t="s">
        <v>148</v>
      </c>
      <c r="M47" s="356"/>
      <c r="N47" s="406">
        <f t="shared" si="20"/>
        <v>0</v>
      </c>
      <c r="O47" s="358"/>
      <c r="P47" s="388"/>
      <c r="Q47" s="355" t="s">
        <v>148</v>
      </c>
      <c r="R47" s="356"/>
      <c r="S47" s="406">
        <f t="shared" si="21"/>
        <v>0</v>
      </c>
      <c r="T47" s="358"/>
      <c r="U47" s="388"/>
      <c r="V47" s="355" t="s">
        <v>148</v>
      </c>
      <c r="W47" s="356"/>
      <c r="X47" s="389">
        <f t="shared" si="22"/>
        <v>0</v>
      </c>
      <c r="Y47" s="358"/>
      <c r="Z47" s="388"/>
      <c r="AA47" s="355" t="s">
        <v>148</v>
      </c>
      <c r="AB47" s="356"/>
      <c r="AC47" s="389">
        <f t="shared" si="23"/>
        <v>0</v>
      </c>
      <c r="AD47" s="358"/>
      <c r="AE47" s="388"/>
      <c r="AF47" s="355" t="s">
        <v>148</v>
      </c>
      <c r="AG47" s="356"/>
      <c r="AH47" s="406">
        <f t="shared" si="24"/>
        <v>0</v>
      </c>
      <c r="AI47" s="358"/>
      <c r="AJ47" s="388"/>
      <c r="AK47" s="355" t="s">
        <v>148</v>
      </c>
      <c r="AL47" s="356"/>
      <c r="AM47" s="406">
        <f t="shared" si="25"/>
        <v>0</v>
      </c>
      <c r="AN47" s="358"/>
      <c r="AO47" s="388"/>
      <c r="AP47" s="355" t="s">
        <v>148</v>
      </c>
      <c r="AQ47" s="356"/>
      <c r="AR47" s="406">
        <f t="shared" si="26"/>
        <v>0</v>
      </c>
      <c r="AS47" s="358"/>
      <c r="AT47" s="388"/>
      <c r="AU47" s="355" t="s">
        <v>148</v>
      </c>
      <c r="AV47" s="356"/>
      <c r="AW47" s="406">
        <f t="shared" si="27"/>
        <v>0</v>
      </c>
      <c r="AX47" s="358"/>
      <c r="AY47" s="358"/>
      <c r="AZ47" s="358"/>
      <c r="BA47" s="358"/>
      <c r="BB47" s="358"/>
      <c r="BC47" s="358"/>
      <c r="BD47" s="358"/>
      <c r="BE47" s="358"/>
      <c r="BF47" s="358"/>
      <c r="BG47" s="358"/>
    </row>
    <row r="48" spans="1:59" s="165" customFormat="1">
      <c r="A48" s="392"/>
      <c r="B48" s="176" t="s">
        <v>149</v>
      </c>
      <c r="C48" s="207"/>
      <c r="D48" s="405">
        <f t="shared" si="0"/>
        <v>0</v>
      </c>
      <c r="E48" s="160"/>
      <c r="F48" s="392"/>
      <c r="G48" s="176" t="s">
        <v>149</v>
      </c>
      <c r="H48" s="207"/>
      <c r="I48" s="405">
        <f t="shared" si="19"/>
        <v>0</v>
      </c>
      <c r="J48" s="160"/>
      <c r="K48" s="392"/>
      <c r="L48" s="176" t="s">
        <v>149</v>
      </c>
      <c r="M48" s="207"/>
      <c r="N48" s="405">
        <f t="shared" si="20"/>
        <v>0</v>
      </c>
      <c r="O48" s="160"/>
      <c r="P48" s="392"/>
      <c r="Q48" s="176" t="s">
        <v>149</v>
      </c>
      <c r="R48" s="207"/>
      <c r="S48" s="405">
        <f t="shared" si="21"/>
        <v>0</v>
      </c>
      <c r="T48" s="160"/>
      <c r="U48" s="392"/>
      <c r="V48" s="176" t="s">
        <v>149</v>
      </c>
      <c r="W48" s="207"/>
      <c r="X48" s="386">
        <f t="shared" si="22"/>
        <v>0</v>
      </c>
      <c r="Y48" s="160"/>
      <c r="Z48" s="392"/>
      <c r="AA48" s="176" t="s">
        <v>149</v>
      </c>
      <c r="AB48" s="207"/>
      <c r="AC48" s="386">
        <f t="shared" si="23"/>
        <v>0</v>
      </c>
      <c r="AD48" s="160"/>
      <c r="AE48" s="392"/>
      <c r="AF48" s="176" t="s">
        <v>149</v>
      </c>
      <c r="AG48" s="207"/>
      <c r="AH48" s="405">
        <f t="shared" si="24"/>
        <v>0</v>
      </c>
      <c r="AI48" s="160"/>
      <c r="AJ48" s="392"/>
      <c r="AK48" s="176" t="s">
        <v>149</v>
      </c>
      <c r="AL48" s="207"/>
      <c r="AM48" s="405">
        <f t="shared" si="25"/>
        <v>0</v>
      </c>
      <c r="AN48" s="160"/>
      <c r="AO48" s="392"/>
      <c r="AP48" s="176" t="s">
        <v>149</v>
      </c>
      <c r="AQ48" s="207"/>
      <c r="AR48" s="405">
        <f t="shared" si="26"/>
        <v>0</v>
      </c>
      <c r="AS48" s="160"/>
      <c r="AT48" s="392"/>
      <c r="AU48" s="176" t="s">
        <v>149</v>
      </c>
      <c r="AV48" s="207"/>
      <c r="AW48" s="405">
        <f t="shared" si="27"/>
        <v>0</v>
      </c>
      <c r="AX48" s="160"/>
      <c r="AY48" s="160"/>
      <c r="AZ48" s="160"/>
      <c r="BA48" s="160"/>
      <c r="BB48" s="160"/>
      <c r="BC48" s="160"/>
      <c r="BD48" s="160"/>
      <c r="BE48" s="160"/>
      <c r="BF48" s="160"/>
      <c r="BG48" s="160"/>
    </row>
    <row r="49" spans="1:59">
      <c r="A49" s="387"/>
      <c r="B49" s="169"/>
      <c r="C49" s="170"/>
      <c r="D49" s="408"/>
      <c r="F49" s="387"/>
      <c r="G49" s="169"/>
      <c r="H49" s="170"/>
      <c r="I49" s="408"/>
      <c r="K49" s="387"/>
      <c r="L49" s="169"/>
      <c r="M49" s="170"/>
      <c r="N49" s="408"/>
      <c r="P49" s="387"/>
      <c r="Q49" s="169"/>
      <c r="R49" s="170"/>
      <c r="S49" s="408"/>
      <c r="U49" s="387"/>
      <c r="V49" s="169"/>
      <c r="W49" s="170"/>
      <c r="X49" s="393"/>
      <c r="Z49" s="387"/>
      <c r="AA49" s="169"/>
      <c r="AB49" s="170"/>
      <c r="AC49" s="393"/>
      <c r="AE49" s="387"/>
      <c r="AF49" s="169"/>
      <c r="AG49" s="170"/>
      <c r="AH49" s="408"/>
      <c r="AJ49" s="387"/>
      <c r="AK49" s="169"/>
      <c r="AL49" s="170"/>
      <c r="AM49" s="408"/>
      <c r="AO49" s="387"/>
      <c r="AP49" s="169"/>
      <c r="AQ49" s="170"/>
      <c r="AR49" s="408"/>
      <c r="AT49" s="387"/>
      <c r="AU49" s="169"/>
      <c r="AV49" s="170"/>
      <c r="AW49" s="408"/>
    </row>
    <row r="50" spans="1:59" ht="13.5" thickBot="1">
      <c r="A50" s="177" t="s">
        <v>91</v>
      </c>
      <c r="B50" s="178"/>
      <c r="C50" s="179">
        <f>SUM(C19:C48)</f>
        <v>0</v>
      </c>
      <c r="D50" s="409">
        <f>C50/C11</f>
        <v>0</v>
      </c>
      <c r="F50" s="177" t="s">
        <v>91</v>
      </c>
      <c r="G50" s="178"/>
      <c r="H50" s="179">
        <f>SUM(H19:H48)</f>
        <v>0</v>
      </c>
      <c r="I50" s="409">
        <f>H50/H11</f>
        <v>0</v>
      </c>
      <c r="K50" s="177" t="s">
        <v>91</v>
      </c>
      <c r="L50" s="178"/>
      <c r="M50" s="179">
        <f>SUM(M19:M48)</f>
        <v>0</v>
      </c>
      <c r="N50" s="409">
        <f>M50/M11</f>
        <v>0</v>
      </c>
      <c r="P50" s="177" t="s">
        <v>91</v>
      </c>
      <c r="Q50" s="178"/>
      <c r="R50" s="179">
        <f>SUM(R19:R48)</f>
        <v>0</v>
      </c>
      <c r="S50" s="409">
        <f>R50/R11</f>
        <v>0</v>
      </c>
      <c r="U50" s="177" t="s">
        <v>91</v>
      </c>
      <c r="V50" s="178"/>
      <c r="W50" s="179">
        <f>SUM(W19:W48)</f>
        <v>0</v>
      </c>
      <c r="X50" s="394">
        <f>W50/W11</f>
        <v>0</v>
      </c>
      <c r="Z50" s="177" t="s">
        <v>91</v>
      </c>
      <c r="AA50" s="178"/>
      <c r="AB50" s="179">
        <f>SUM(AB19:AB48)</f>
        <v>0</v>
      </c>
      <c r="AC50" s="394">
        <f>AB50/AB11</f>
        <v>0</v>
      </c>
      <c r="AE50" s="177" t="s">
        <v>91</v>
      </c>
      <c r="AF50" s="178"/>
      <c r="AG50" s="179">
        <f>SUM(AG19:AG48)</f>
        <v>0</v>
      </c>
      <c r="AH50" s="409">
        <f>AG50/AG11</f>
        <v>0</v>
      </c>
      <c r="AJ50" s="177" t="s">
        <v>91</v>
      </c>
      <c r="AK50" s="178"/>
      <c r="AL50" s="179">
        <f>SUM(AL19:AL48)</f>
        <v>0</v>
      </c>
      <c r="AM50" s="409">
        <f>AL50/AL11</f>
        <v>0</v>
      </c>
      <c r="AO50" s="177" t="s">
        <v>91</v>
      </c>
      <c r="AP50" s="178"/>
      <c r="AQ50" s="179">
        <f>SUM(AQ19:AQ48)</f>
        <v>0</v>
      </c>
      <c r="AR50" s="409">
        <f>AQ50/AQ11</f>
        <v>0</v>
      </c>
      <c r="AT50" s="177" t="s">
        <v>91</v>
      </c>
      <c r="AU50" s="178"/>
      <c r="AV50" s="179">
        <f>SUM(AV19:AV48)</f>
        <v>0</v>
      </c>
      <c r="AW50" s="409">
        <f>AV50/AV11</f>
        <v>0</v>
      </c>
    </row>
    <row r="51" spans="1:59" s="158" customFormat="1" ht="13.5" thickTop="1">
      <c r="A51" s="173"/>
      <c r="B51" s="353" t="s">
        <v>150</v>
      </c>
      <c r="C51" s="352">
        <f>C50/C4</f>
        <v>0</v>
      </c>
      <c r="D51" s="410"/>
      <c r="F51" s="173"/>
      <c r="G51" s="353" t="s">
        <v>150</v>
      </c>
      <c r="H51" s="352">
        <f>H50/H4</f>
        <v>0</v>
      </c>
      <c r="I51" s="410"/>
      <c r="K51" s="173"/>
      <c r="L51" s="353" t="s">
        <v>150</v>
      </c>
      <c r="M51" s="352">
        <f>M50/M4</f>
        <v>0</v>
      </c>
      <c r="N51" s="410"/>
      <c r="P51" s="173"/>
      <c r="Q51" s="353" t="s">
        <v>150</v>
      </c>
      <c r="R51" s="352">
        <f>R50/R4</f>
        <v>0</v>
      </c>
      <c r="S51" s="410"/>
      <c r="U51" s="173"/>
      <c r="V51" s="353" t="s">
        <v>150</v>
      </c>
      <c r="W51" s="352">
        <f>W50/W4</f>
        <v>0</v>
      </c>
      <c r="X51" s="395"/>
      <c r="Z51" s="173"/>
      <c r="AA51" s="353" t="s">
        <v>150</v>
      </c>
      <c r="AB51" s="352">
        <f>AB50/AB4</f>
        <v>0</v>
      </c>
      <c r="AC51" s="395"/>
      <c r="AE51" s="173"/>
      <c r="AF51" s="353" t="s">
        <v>150</v>
      </c>
      <c r="AG51" s="352">
        <f>AG50/AG4</f>
        <v>0</v>
      </c>
      <c r="AH51" s="410"/>
      <c r="AJ51" s="173"/>
      <c r="AK51" s="353" t="s">
        <v>150</v>
      </c>
      <c r="AL51" s="352">
        <f>AL50/AL4</f>
        <v>0</v>
      </c>
      <c r="AM51" s="410"/>
      <c r="AO51" s="173"/>
      <c r="AP51" s="353" t="s">
        <v>150</v>
      </c>
      <c r="AQ51" s="352">
        <f>AQ50/AQ4</f>
        <v>0</v>
      </c>
      <c r="AR51" s="410"/>
      <c r="AT51" s="173"/>
      <c r="AU51" s="353" t="s">
        <v>150</v>
      </c>
      <c r="AV51" s="352" t="e">
        <f>AV50/AV4</f>
        <v>#REF!</v>
      </c>
      <c r="AW51" s="410"/>
    </row>
    <row r="52" spans="1:59" s="202" customFormat="1" ht="13.5" thickBot="1">
      <c r="A52" s="197" t="s">
        <v>151</v>
      </c>
      <c r="B52" s="198"/>
      <c r="C52" s="199">
        <f>C16-C50</f>
        <v>0</v>
      </c>
      <c r="D52" s="411"/>
      <c r="E52" s="201"/>
      <c r="F52" s="197" t="s">
        <v>151</v>
      </c>
      <c r="G52" s="198"/>
      <c r="H52" s="199">
        <f>H16-H50</f>
        <v>0</v>
      </c>
      <c r="I52" s="411"/>
      <c r="J52" s="201"/>
      <c r="K52" s="197" t="s">
        <v>151</v>
      </c>
      <c r="L52" s="198"/>
      <c r="M52" s="199">
        <f>M16-M50</f>
        <v>0</v>
      </c>
      <c r="N52" s="411"/>
      <c r="O52" s="201"/>
      <c r="P52" s="197" t="s">
        <v>151</v>
      </c>
      <c r="Q52" s="198"/>
      <c r="R52" s="199">
        <f>R16-R50</f>
        <v>0</v>
      </c>
      <c r="S52" s="411"/>
      <c r="T52" s="201"/>
      <c r="U52" s="197" t="s">
        <v>151</v>
      </c>
      <c r="V52" s="198"/>
      <c r="W52" s="199">
        <f>W16-W50</f>
        <v>0</v>
      </c>
      <c r="X52" s="396"/>
      <c r="Y52" s="201"/>
      <c r="Z52" s="197" t="s">
        <v>151</v>
      </c>
      <c r="AA52" s="198"/>
      <c r="AB52" s="199">
        <f>AB16-AB50</f>
        <v>0</v>
      </c>
      <c r="AC52" s="396"/>
      <c r="AD52" s="201"/>
      <c r="AE52" s="197" t="s">
        <v>151</v>
      </c>
      <c r="AF52" s="198"/>
      <c r="AG52" s="199">
        <f>AG16-AG50</f>
        <v>0</v>
      </c>
      <c r="AH52" s="411"/>
      <c r="AI52" s="201"/>
      <c r="AJ52" s="197" t="s">
        <v>151</v>
      </c>
      <c r="AK52" s="198"/>
      <c r="AL52" s="199">
        <f>AL16-AL50</f>
        <v>0</v>
      </c>
      <c r="AM52" s="411"/>
      <c r="AN52" s="201"/>
      <c r="AO52" s="197" t="s">
        <v>151</v>
      </c>
      <c r="AP52" s="198"/>
      <c r="AQ52" s="199">
        <f>AQ16-AQ50</f>
        <v>0</v>
      </c>
      <c r="AR52" s="411"/>
      <c r="AS52" s="201"/>
      <c r="AT52" s="197" t="s">
        <v>151</v>
      </c>
      <c r="AU52" s="198"/>
      <c r="AV52" s="199">
        <f>AV16-AV50</f>
        <v>0</v>
      </c>
      <c r="AW52" s="411"/>
      <c r="AX52" s="201"/>
      <c r="AY52" s="201"/>
      <c r="AZ52" s="201"/>
      <c r="BA52" s="201"/>
      <c r="BB52" s="201"/>
      <c r="BC52" s="201"/>
      <c r="BD52" s="201"/>
      <c r="BE52" s="201"/>
      <c r="BF52" s="201"/>
      <c r="BG52" s="201"/>
    </row>
    <row r="53" spans="1:59" s="413" customFormat="1">
      <c r="C53" s="413">
        <f>C52/C11</f>
        <v>0</v>
      </c>
      <c r="D53" s="414"/>
      <c r="H53" s="413">
        <f>H52/H11</f>
        <v>0</v>
      </c>
      <c r="I53" s="414"/>
      <c r="M53" s="413">
        <f>M52/M11</f>
        <v>0</v>
      </c>
      <c r="N53" s="414"/>
      <c r="R53" s="413">
        <f>R52/R11</f>
        <v>0</v>
      </c>
      <c r="S53" s="414"/>
      <c r="W53" s="413">
        <f>W52/W11</f>
        <v>0</v>
      </c>
      <c r="AB53" s="413">
        <f>AB52/AB11</f>
        <v>0</v>
      </c>
      <c r="AG53" s="413">
        <f>AG52/AG11</f>
        <v>0</v>
      </c>
      <c r="AH53" s="414"/>
      <c r="AL53" s="413">
        <f>AL52/AL11</f>
        <v>0</v>
      </c>
      <c r="AM53" s="414"/>
      <c r="AQ53" s="413">
        <f>AQ52/AQ11</f>
        <v>0</v>
      </c>
      <c r="AR53" s="414"/>
      <c r="AV53" s="413">
        <f>AV52/AV11</f>
        <v>0</v>
      </c>
      <c r="AW53" s="414"/>
    </row>
    <row r="54" spans="1:59" s="158" customFormat="1">
      <c r="D54" s="398"/>
      <c r="I54" s="398"/>
      <c r="N54" s="398"/>
      <c r="S54" s="398"/>
      <c r="AH54" s="398"/>
      <c r="AM54" s="398"/>
      <c r="AR54" s="398"/>
      <c r="AW54" s="398"/>
    </row>
    <row r="55" spans="1:59" s="158" customFormat="1">
      <c r="D55" s="398"/>
      <c r="I55" s="398"/>
      <c r="N55" s="398"/>
      <c r="S55" s="398"/>
      <c r="AH55" s="398"/>
      <c r="AM55" s="398"/>
      <c r="AR55" s="398"/>
      <c r="AW55" s="398"/>
    </row>
    <row r="56" spans="1:59" s="158" customFormat="1">
      <c r="A56" s="160" t="s">
        <v>152</v>
      </c>
      <c r="C56" s="175"/>
      <c r="D56" s="398"/>
      <c r="F56" s="205"/>
      <c r="I56" s="398"/>
      <c r="N56" s="398"/>
      <c r="S56" s="398"/>
      <c r="AH56" s="398"/>
      <c r="AM56" s="398"/>
      <c r="AR56" s="398"/>
      <c r="AW56" s="398"/>
    </row>
    <row r="57" spans="1:59" s="158" customFormat="1">
      <c r="A57" s="160"/>
      <c r="C57" s="175"/>
      <c r="D57" s="398"/>
      <c r="F57" s="205"/>
      <c r="I57" s="398"/>
      <c r="N57" s="398"/>
      <c r="S57" s="398"/>
      <c r="AH57" s="398"/>
      <c r="AM57" s="398"/>
      <c r="AR57" s="398"/>
      <c r="AW57" s="398"/>
    </row>
    <row r="58" spans="1:59" s="158" customFormat="1">
      <c r="D58" s="398"/>
      <c r="F58" s="205"/>
      <c r="I58" s="398"/>
      <c r="N58" s="398"/>
      <c r="S58" s="398"/>
      <c r="AH58" s="398"/>
      <c r="AM58" s="398"/>
      <c r="AR58" s="398"/>
      <c r="AW58" s="398"/>
    </row>
    <row r="59" spans="1:59" s="158" customFormat="1">
      <c r="D59" s="398"/>
      <c r="F59" s="205"/>
      <c r="I59" s="398"/>
      <c r="N59" s="398"/>
      <c r="S59" s="398"/>
      <c r="AH59" s="398"/>
      <c r="AM59" s="398"/>
      <c r="AR59" s="398"/>
      <c r="AW59" s="398"/>
    </row>
    <row r="60" spans="1:59" s="158" customFormat="1">
      <c r="D60" s="398"/>
      <c r="I60" s="398"/>
      <c r="N60" s="398"/>
      <c r="S60" s="398"/>
      <c r="AH60" s="398"/>
      <c r="AM60" s="398"/>
      <c r="AR60" s="398"/>
      <c r="AW60" s="398"/>
    </row>
    <row r="61" spans="1:59" s="158" customFormat="1">
      <c r="D61" s="398"/>
      <c r="I61" s="398"/>
      <c r="N61" s="398"/>
      <c r="S61" s="398"/>
      <c r="AH61" s="398"/>
      <c r="AM61" s="398"/>
      <c r="AR61" s="398"/>
      <c r="AW61" s="398"/>
    </row>
    <row r="62" spans="1:59" s="158" customFormat="1">
      <c r="D62" s="398"/>
      <c r="I62" s="398"/>
      <c r="N62" s="398"/>
      <c r="S62" s="398"/>
      <c r="AH62" s="398"/>
      <c r="AM62" s="398"/>
      <c r="AR62" s="398"/>
      <c r="AW62" s="398"/>
    </row>
    <row r="63" spans="1:59" s="158" customFormat="1">
      <c r="D63" s="398"/>
      <c r="I63" s="398"/>
      <c r="N63" s="398"/>
      <c r="S63" s="398"/>
      <c r="AH63" s="398"/>
      <c r="AM63" s="398"/>
      <c r="AR63" s="398"/>
      <c r="AW63" s="398"/>
    </row>
    <row r="64" spans="1:59" s="158" customFormat="1">
      <c r="D64" s="398"/>
      <c r="I64" s="398"/>
      <c r="N64" s="398"/>
      <c r="S64" s="398"/>
      <c r="AH64" s="398"/>
      <c r="AM64" s="398"/>
      <c r="AR64" s="398"/>
      <c r="AW64" s="398"/>
    </row>
    <row r="65" spans="4:49" s="158" customFormat="1">
      <c r="D65" s="398"/>
      <c r="I65" s="398"/>
      <c r="N65" s="398"/>
      <c r="S65" s="398"/>
      <c r="AH65" s="398"/>
      <c r="AM65" s="398"/>
      <c r="AR65" s="398"/>
      <c r="AW65" s="398"/>
    </row>
    <row r="66" spans="4:49" s="158" customFormat="1">
      <c r="D66" s="398"/>
      <c r="I66" s="398"/>
      <c r="N66" s="398"/>
      <c r="S66" s="398"/>
      <c r="AH66" s="398"/>
      <c r="AM66" s="398"/>
      <c r="AR66" s="398"/>
      <c r="AW66" s="398"/>
    </row>
    <row r="67" spans="4:49" s="158" customFormat="1">
      <c r="D67" s="398"/>
      <c r="I67" s="398"/>
      <c r="N67" s="398"/>
      <c r="S67" s="398"/>
      <c r="AH67" s="398"/>
      <c r="AM67" s="398"/>
      <c r="AR67" s="398"/>
      <c r="AW67" s="398"/>
    </row>
    <row r="68" spans="4:49" s="158" customFormat="1">
      <c r="D68" s="398"/>
      <c r="I68" s="398"/>
      <c r="N68" s="398"/>
      <c r="S68" s="398"/>
      <c r="AH68" s="398"/>
      <c r="AM68" s="398"/>
      <c r="AR68" s="398"/>
      <c r="AW68" s="398"/>
    </row>
    <row r="69" spans="4:49" s="158" customFormat="1">
      <c r="D69" s="398"/>
      <c r="I69" s="398"/>
      <c r="N69" s="398"/>
      <c r="S69" s="398"/>
      <c r="AH69" s="398"/>
      <c r="AM69" s="398"/>
      <c r="AR69" s="398"/>
      <c r="AW69" s="398"/>
    </row>
    <row r="70" spans="4:49" s="158" customFormat="1">
      <c r="D70" s="398"/>
      <c r="I70" s="398"/>
      <c r="N70" s="398"/>
      <c r="S70" s="398"/>
      <c r="AH70" s="398"/>
      <c r="AM70" s="398"/>
      <c r="AR70" s="398"/>
      <c r="AW70" s="398"/>
    </row>
    <row r="71" spans="4:49" s="158" customFormat="1">
      <c r="D71" s="398"/>
      <c r="I71" s="398"/>
      <c r="N71" s="398"/>
      <c r="S71" s="398"/>
      <c r="AH71" s="398"/>
      <c r="AM71" s="398"/>
      <c r="AR71" s="398"/>
      <c r="AW71" s="398"/>
    </row>
    <row r="72" spans="4:49" s="158" customFormat="1">
      <c r="D72" s="398"/>
      <c r="I72" s="398"/>
      <c r="N72" s="398"/>
      <c r="S72" s="398"/>
      <c r="AH72" s="398"/>
      <c r="AM72" s="398"/>
      <c r="AR72" s="398"/>
      <c r="AW72" s="398"/>
    </row>
    <row r="73" spans="4:49" s="158" customFormat="1">
      <c r="D73" s="398"/>
      <c r="I73" s="398"/>
      <c r="N73" s="398"/>
      <c r="S73" s="398"/>
      <c r="AH73" s="398"/>
      <c r="AM73" s="398"/>
      <c r="AR73" s="398"/>
      <c r="AW73" s="398"/>
    </row>
    <row r="74" spans="4:49" s="158" customFormat="1">
      <c r="D74" s="398"/>
      <c r="I74" s="398"/>
      <c r="N74" s="398"/>
      <c r="S74" s="398"/>
      <c r="AH74" s="398"/>
      <c r="AM74" s="398"/>
      <c r="AR74" s="398"/>
      <c r="AW74" s="398"/>
    </row>
    <row r="75" spans="4:49" s="158" customFormat="1">
      <c r="D75" s="398"/>
      <c r="I75" s="398"/>
      <c r="N75" s="398"/>
      <c r="S75" s="398"/>
      <c r="AH75" s="398"/>
      <c r="AM75" s="398"/>
      <c r="AR75" s="398"/>
      <c r="AW75" s="398"/>
    </row>
    <row r="76" spans="4:49" s="158" customFormat="1">
      <c r="D76" s="398"/>
      <c r="I76" s="398"/>
      <c r="N76" s="398"/>
      <c r="S76" s="398"/>
      <c r="AH76" s="398"/>
      <c r="AM76" s="398"/>
      <c r="AR76" s="398"/>
      <c r="AW76" s="398"/>
    </row>
    <row r="77" spans="4:49" s="158" customFormat="1">
      <c r="D77" s="398"/>
      <c r="I77" s="398"/>
      <c r="N77" s="398"/>
      <c r="S77" s="398"/>
      <c r="AH77" s="398"/>
      <c r="AM77" s="398"/>
      <c r="AR77" s="398"/>
      <c r="AW77" s="398"/>
    </row>
    <row r="78" spans="4:49" s="158" customFormat="1">
      <c r="D78" s="398"/>
      <c r="I78" s="398"/>
      <c r="N78" s="398"/>
      <c r="S78" s="398"/>
      <c r="AH78" s="398"/>
      <c r="AM78" s="398"/>
      <c r="AR78" s="398"/>
      <c r="AW78" s="398"/>
    </row>
    <row r="79" spans="4:49" s="158" customFormat="1">
      <c r="D79" s="398"/>
      <c r="I79" s="398"/>
      <c r="N79" s="398"/>
      <c r="S79" s="398"/>
      <c r="AH79" s="398"/>
      <c r="AM79" s="398"/>
      <c r="AR79" s="398"/>
      <c r="AW79" s="398"/>
    </row>
    <row r="80" spans="4:49" s="158" customFormat="1">
      <c r="D80" s="398"/>
      <c r="I80" s="398"/>
      <c r="N80" s="398"/>
      <c r="S80" s="398"/>
      <c r="AH80" s="398"/>
      <c r="AM80" s="398"/>
      <c r="AR80" s="398"/>
      <c r="AW80" s="398"/>
    </row>
    <row r="81" spans="4:49" s="158" customFormat="1">
      <c r="D81" s="398"/>
      <c r="I81" s="398"/>
      <c r="N81" s="398"/>
      <c r="S81" s="398"/>
      <c r="AH81" s="398"/>
      <c r="AM81" s="398"/>
      <c r="AR81" s="398"/>
      <c r="AW81" s="398"/>
    </row>
    <row r="82" spans="4:49" s="158" customFormat="1">
      <c r="D82" s="398"/>
      <c r="I82" s="398"/>
      <c r="N82" s="398"/>
      <c r="S82" s="398"/>
      <c r="AH82" s="398"/>
      <c r="AM82" s="398"/>
      <c r="AR82" s="398"/>
      <c r="AW82" s="398"/>
    </row>
    <row r="83" spans="4:49" s="158" customFormat="1">
      <c r="D83" s="398"/>
      <c r="I83" s="398"/>
      <c r="N83" s="398"/>
      <c r="S83" s="398"/>
      <c r="AH83" s="398"/>
      <c r="AM83" s="398"/>
      <c r="AR83" s="398"/>
      <c r="AW83" s="398"/>
    </row>
    <row r="84" spans="4:49" s="158" customFormat="1">
      <c r="D84" s="398"/>
      <c r="I84" s="398"/>
      <c r="N84" s="398"/>
      <c r="S84" s="398"/>
      <c r="AH84" s="398"/>
      <c r="AM84" s="398"/>
      <c r="AR84" s="398"/>
      <c r="AW84" s="398"/>
    </row>
    <row r="85" spans="4:49" s="158" customFormat="1">
      <c r="D85" s="398"/>
      <c r="I85" s="398"/>
      <c r="N85" s="398"/>
      <c r="S85" s="398"/>
      <c r="AH85" s="398"/>
      <c r="AM85" s="398"/>
      <c r="AR85" s="398"/>
      <c r="AW85" s="398"/>
    </row>
    <row r="86" spans="4:49" s="158" customFormat="1">
      <c r="D86" s="398"/>
      <c r="I86" s="398"/>
      <c r="N86" s="398"/>
      <c r="S86" s="398"/>
      <c r="AH86" s="398"/>
      <c r="AM86" s="398"/>
      <c r="AR86" s="398"/>
      <c r="AW86" s="398"/>
    </row>
    <row r="87" spans="4:49" s="158" customFormat="1">
      <c r="D87" s="398"/>
      <c r="I87" s="398"/>
      <c r="N87" s="398"/>
      <c r="S87" s="398"/>
      <c r="AH87" s="398"/>
      <c r="AM87" s="398"/>
      <c r="AR87" s="398"/>
      <c r="AW87" s="398"/>
    </row>
    <row r="88" spans="4:49" s="158" customFormat="1">
      <c r="D88" s="398"/>
      <c r="I88" s="398"/>
      <c r="N88" s="398"/>
      <c r="S88" s="398"/>
      <c r="AH88" s="398"/>
      <c r="AM88" s="398"/>
      <c r="AR88" s="398"/>
      <c r="AW88" s="398"/>
    </row>
    <row r="89" spans="4:49" s="158" customFormat="1">
      <c r="D89" s="398"/>
      <c r="I89" s="398"/>
      <c r="N89" s="398"/>
      <c r="S89" s="398"/>
      <c r="AH89" s="398"/>
      <c r="AM89" s="398"/>
      <c r="AR89" s="398"/>
      <c r="AW89" s="398"/>
    </row>
    <row r="90" spans="4:49" s="158" customFormat="1">
      <c r="D90" s="398"/>
      <c r="I90" s="398"/>
      <c r="N90" s="398"/>
      <c r="S90" s="398"/>
      <c r="AH90" s="398"/>
      <c r="AM90" s="398"/>
      <c r="AR90" s="398"/>
      <c r="AW90" s="398"/>
    </row>
    <row r="91" spans="4:49" s="158" customFormat="1">
      <c r="D91" s="398"/>
      <c r="I91" s="398"/>
      <c r="N91" s="398"/>
      <c r="S91" s="398"/>
      <c r="AH91" s="398"/>
      <c r="AM91" s="398"/>
      <c r="AR91" s="398"/>
      <c r="AW91" s="398"/>
    </row>
    <row r="92" spans="4:49" s="158" customFormat="1">
      <c r="D92" s="398"/>
      <c r="I92" s="398"/>
      <c r="N92" s="398"/>
      <c r="S92" s="398"/>
      <c r="AH92" s="398"/>
      <c r="AM92" s="398"/>
      <c r="AR92" s="398"/>
      <c r="AW92" s="398"/>
    </row>
    <row r="93" spans="4:49" s="158" customFormat="1">
      <c r="D93" s="398"/>
      <c r="I93" s="398"/>
      <c r="N93" s="398"/>
      <c r="S93" s="398"/>
      <c r="AH93" s="398"/>
      <c r="AM93" s="398"/>
      <c r="AR93" s="398"/>
      <c r="AW93" s="398"/>
    </row>
    <row r="94" spans="4:49" s="158" customFormat="1">
      <c r="D94" s="398"/>
      <c r="I94" s="398"/>
      <c r="N94" s="398"/>
      <c r="S94" s="398"/>
      <c r="AH94" s="398"/>
      <c r="AM94" s="398"/>
      <c r="AR94" s="398"/>
      <c r="AW94" s="398"/>
    </row>
    <row r="95" spans="4:49" s="158" customFormat="1">
      <c r="D95" s="398"/>
      <c r="I95" s="398"/>
      <c r="N95" s="398"/>
      <c r="S95" s="398"/>
      <c r="AH95" s="398"/>
      <c r="AM95" s="398"/>
      <c r="AR95" s="398"/>
      <c r="AW95" s="398"/>
    </row>
    <row r="96" spans="4:49" s="158" customFormat="1">
      <c r="D96" s="398"/>
      <c r="I96" s="398"/>
      <c r="N96" s="398"/>
      <c r="S96" s="398"/>
      <c r="AH96" s="398"/>
      <c r="AM96" s="398"/>
      <c r="AR96" s="398"/>
      <c r="AW96" s="398"/>
    </row>
    <row r="97" spans="4:49" s="158" customFormat="1">
      <c r="D97" s="398"/>
      <c r="I97" s="398"/>
      <c r="N97" s="398"/>
      <c r="S97" s="398"/>
      <c r="AH97" s="398"/>
      <c r="AM97" s="398"/>
      <c r="AR97" s="398"/>
      <c r="AW97" s="398"/>
    </row>
    <row r="98" spans="4:49" s="158" customFormat="1">
      <c r="D98" s="398"/>
      <c r="I98" s="398"/>
      <c r="N98" s="398"/>
      <c r="S98" s="398"/>
      <c r="AH98" s="398"/>
      <c r="AM98" s="398"/>
      <c r="AR98" s="398"/>
      <c r="AW98" s="398"/>
    </row>
    <row r="99" spans="4:49" s="158" customFormat="1">
      <c r="D99" s="398"/>
      <c r="I99" s="398"/>
      <c r="N99" s="398"/>
      <c r="S99" s="398"/>
      <c r="AH99" s="398"/>
      <c r="AM99" s="398"/>
      <c r="AR99" s="398"/>
      <c r="AW99" s="398"/>
    </row>
    <row r="100" spans="4:49" s="158" customFormat="1">
      <c r="D100" s="398"/>
      <c r="I100" s="398"/>
      <c r="N100" s="398"/>
      <c r="S100" s="398"/>
      <c r="AH100" s="398"/>
      <c r="AM100" s="398"/>
      <c r="AR100" s="398"/>
      <c r="AW100" s="398"/>
    </row>
    <row r="101" spans="4:49" s="158" customFormat="1">
      <c r="D101" s="398"/>
      <c r="I101" s="398"/>
      <c r="N101" s="398"/>
      <c r="S101" s="398"/>
      <c r="AH101" s="398"/>
      <c r="AM101" s="398"/>
      <c r="AR101" s="398"/>
      <c r="AW101" s="398"/>
    </row>
    <row r="102" spans="4:49" s="158" customFormat="1">
      <c r="D102" s="398"/>
      <c r="I102" s="398"/>
      <c r="N102" s="398"/>
      <c r="S102" s="398"/>
      <c r="AH102" s="398"/>
      <c r="AM102" s="398"/>
      <c r="AR102" s="398"/>
      <c r="AW102" s="398"/>
    </row>
    <row r="103" spans="4:49" s="158" customFormat="1">
      <c r="D103" s="398"/>
      <c r="I103" s="398"/>
      <c r="N103" s="398"/>
      <c r="S103" s="398"/>
      <c r="AH103" s="398"/>
      <c r="AM103" s="398"/>
      <c r="AR103" s="398"/>
      <c r="AW103" s="398"/>
    </row>
    <row r="104" spans="4:49" s="158" customFormat="1">
      <c r="D104" s="398"/>
      <c r="I104" s="398"/>
      <c r="N104" s="398"/>
      <c r="S104" s="398"/>
      <c r="AH104" s="398"/>
      <c r="AM104" s="398"/>
      <c r="AR104" s="398"/>
      <c r="AW104" s="398"/>
    </row>
    <row r="105" spans="4:49" s="158" customFormat="1">
      <c r="D105" s="398"/>
      <c r="I105" s="398"/>
      <c r="N105" s="398"/>
      <c r="S105" s="398"/>
      <c r="AH105" s="398"/>
      <c r="AM105" s="398"/>
      <c r="AR105" s="398"/>
      <c r="AW105" s="398"/>
    </row>
    <row r="106" spans="4:49" s="158" customFormat="1">
      <c r="D106" s="398"/>
      <c r="I106" s="398"/>
      <c r="N106" s="398"/>
      <c r="S106" s="398"/>
      <c r="AH106" s="398"/>
      <c r="AM106" s="398"/>
      <c r="AR106" s="398"/>
      <c r="AW106" s="398"/>
    </row>
    <row r="107" spans="4:49" s="158" customFormat="1">
      <c r="D107" s="398"/>
      <c r="I107" s="398"/>
      <c r="N107" s="398"/>
      <c r="S107" s="398"/>
      <c r="AH107" s="398"/>
      <c r="AM107" s="398"/>
      <c r="AR107" s="398"/>
      <c r="AW107" s="398"/>
    </row>
    <row r="108" spans="4:49" s="158" customFormat="1">
      <c r="D108" s="398"/>
      <c r="I108" s="398"/>
      <c r="N108" s="398"/>
      <c r="S108" s="398"/>
      <c r="AH108" s="398"/>
      <c r="AM108" s="398"/>
      <c r="AR108" s="398"/>
      <c r="AW108" s="398"/>
    </row>
    <row r="109" spans="4:49" s="158" customFormat="1">
      <c r="D109" s="398"/>
      <c r="I109" s="398"/>
      <c r="N109" s="398"/>
      <c r="S109" s="398"/>
      <c r="AH109" s="398"/>
      <c r="AM109" s="398"/>
      <c r="AR109" s="398"/>
      <c r="AW109" s="398"/>
    </row>
    <row r="110" spans="4:49" s="158" customFormat="1">
      <c r="D110" s="398"/>
      <c r="I110" s="398"/>
      <c r="N110" s="398"/>
      <c r="S110" s="398"/>
      <c r="AH110" s="398"/>
      <c r="AM110" s="398"/>
      <c r="AR110" s="398"/>
      <c r="AW110" s="398"/>
    </row>
    <row r="111" spans="4:49" s="158" customFormat="1">
      <c r="D111" s="398"/>
      <c r="I111" s="398"/>
      <c r="N111" s="398"/>
      <c r="S111" s="398"/>
      <c r="AH111" s="398"/>
      <c r="AM111" s="398"/>
      <c r="AR111" s="398"/>
      <c r="AW111" s="398"/>
    </row>
    <row r="112" spans="4:49" s="158" customFormat="1">
      <c r="D112" s="398"/>
      <c r="I112" s="398"/>
      <c r="N112" s="398"/>
      <c r="S112" s="398"/>
      <c r="AH112" s="398"/>
      <c r="AM112" s="398"/>
      <c r="AR112" s="398"/>
      <c r="AW112" s="398"/>
    </row>
    <row r="113" spans="4:49" s="158" customFormat="1">
      <c r="D113" s="398"/>
      <c r="I113" s="398"/>
      <c r="N113" s="398"/>
      <c r="S113" s="398"/>
      <c r="AH113" s="398"/>
      <c r="AM113" s="398"/>
      <c r="AR113" s="398"/>
      <c r="AW113" s="398"/>
    </row>
    <row r="114" spans="4:49" s="158" customFormat="1">
      <c r="D114" s="398"/>
      <c r="I114" s="398"/>
      <c r="N114" s="398"/>
      <c r="S114" s="398"/>
      <c r="AH114" s="398"/>
      <c r="AM114" s="398"/>
      <c r="AR114" s="398"/>
      <c r="AW114" s="398"/>
    </row>
    <row r="115" spans="4:49" s="158" customFormat="1">
      <c r="D115" s="398"/>
      <c r="I115" s="398"/>
      <c r="N115" s="398"/>
      <c r="S115" s="398"/>
      <c r="AH115" s="398"/>
      <c r="AM115" s="398"/>
      <c r="AR115" s="398"/>
      <c r="AW115" s="398"/>
    </row>
    <row r="116" spans="4:49" s="158" customFormat="1">
      <c r="D116" s="398"/>
      <c r="I116" s="398"/>
      <c r="N116" s="398"/>
      <c r="S116" s="398"/>
      <c r="AH116" s="398"/>
      <c r="AM116" s="398"/>
      <c r="AR116" s="398"/>
      <c r="AW116" s="398"/>
    </row>
    <row r="117" spans="4:49" s="158" customFormat="1">
      <c r="D117" s="398"/>
      <c r="I117" s="398"/>
      <c r="N117" s="398"/>
      <c r="S117" s="398"/>
      <c r="AH117" s="398"/>
      <c r="AM117" s="398"/>
      <c r="AR117" s="398"/>
      <c r="AW117" s="398"/>
    </row>
    <row r="118" spans="4:49" s="158" customFormat="1">
      <c r="D118" s="398"/>
      <c r="I118" s="398"/>
      <c r="N118" s="398"/>
      <c r="S118" s="398"/>
      <c r="AH118" s="398"/>
      <c r="AM118" s="398"/>
      <c r="AR118" s="398"/>
      <c r="AW118" s="398"/>
    </row>
    <row r="119" spans="4:49" s="158" customFormat="1">
      <c r="D119" s="398"/>
      <c r="I119" s="398"/>
      <c r="N119" s="398"/>
      <c r="S119" s="398"/>
      <c r="AH119" s="398"/>
      <c r="AM119" s="398"/>
      <c r="AR119" s="398"/>
      <c r="AW119" s="398"/>
    </row>
    <row r="120" spans="4:49" s="158" customFormat="1">
      <c r="D120" s="398"/>
      <c r="I120" s="398"/>
      <c r="N120" s="398"/>
      <c r="S120" s="398"/>
      <c r="AH120" s="398"/>
      <c r="AM120" s="398"/>
      <c r="AR120" s="398"/>
      <c r="AW120" s="398"/>
    </row>
    <row r="121" spans="4:49" s="158" customFormat="1">
      <c r="D121" s="398"/>
      <c r="I121" s="398"/>
      <c r="N121" s="398"/>
      <c r="S121" s="398"/>
      <c r="AH121" s="398"/>
      <c r="AM121" s="398"/>
      <c r="AR121" s="398"/>
      <c r="AW121" s="398"/>
    </row>
    <row r="122" spans="4:49" s="158" customFormat="1">
      <c r="D122" s="398"/>
      <c r="I122" s="398"/>
      <c r="N122" s="398"/>
      <c r="S122" s="398"/>
      <c r="AH122" s="398"/>
      <c r="AM122" s="398"/>
      <c r="AR122" s="398"/>
      <c r="AW122" s="398"/>
    </row>
    <row r="123" spans="4:49" s="158" customFormat="1">
      <c r="D123" s="398"/>
      <c r="I123" s="398"/>
      <c r="N123" s="398"/>
      <c r="S123" s="398"/>
      <c r="AH123" s="398"/>
      <c r="AM123" s="398"/>
      <c r="AR123" s="398"/>
      <c r="AW123" s="398"/>
    </row>
    <row r="124" spans="4:49" s="158" customFormat="1">
      <c r="D124" s="398"/>
      <c r="I124" s="398"/>
      <c r="N124" s="398"/>
      <c r="S124" s="398"/>
      <c r="AH124" s="398"/>
      <c r="AM124" s="398"/>
      <c r="AR124" s="398"/>
      <c r="AW124" s="398"/>
    </row>
    <row r="125" spans="4:49" s="158" customFormat="1">
      <c r="D125" s="398"/>
      <c r="I125" s="398"/>
      <c r="N125" s="398"/>
      <c r="S125" s="398"/>
      <c r="AH125" s="398"/>
      <c r="AM125" s="398"/>
      <c r="AR125" s="398"/>
      <c r="AW125" s="398"/>
    </row>
    <row r="126" spans="4:49" s="158" customFormat="1">
      <c r="D126" s="398"/>
      <c r="I126" s="398"/>
      <c r="N126" s="398"/>
      <c r="S126" s="398"/>
      <c r="AH126" s="398"/>
      <c r="AM126" s="398"/>
      <c r="AR126" s="398"/>
      <c r="AW126" s="398"/>
    </row>
    <row r="127" spans="4:49" s="158" customFormat="1">
      <c r="D127" s="398"/>
      <c r="I127" s="398"/>
      <c r="N127" s="398"/>
      <c r="S127" s="398"/>
      <c r="AH127" s="398"/>
      <c r="AM127" s="398"/>
      <c r="AR127" s="398"/>
      <c r="AW127" s="398"/>
    </row>
    <row r="128" spans="4:49" s="158" customFormat="1">
      <c r="D128" s="398"/>
      <c r="I128" s="398"/>
      <c r="N128" s="398"/>
      <c r="S128" s="398"/>
      <c r="AH128" s="398"/>
      <c r="AM128" s="398"/>
      <c r="AR128" s="398"/>
      <c r="AW128" s="398"/>
    </row>
    <row r="129" spans="4:49" s="158" customFormat="1">
      <c r="D129" s="398"/>
      <c r="I129" s="398"/>
      <c r="N129" s="398"/>
      <c r="S129" s="398"/>
      <c r="AH129" s="398"/>
      <c r="AM129" s="398"/>
      <c r="AR129" s="398"/>
      <c r="AW129" s="398"/>
    </row>
    <row r="130" spans="4:49" s="158" customFormat="1">
      <c r="D130" s="398"/>
      <c r="I130" s="398"/>
      <c r="N130" s="398"/>
      <c r="S130" s="398"/>
      <c r="AH130" s="398"/>
      <c r="AM130" s="398"/>
      <c r="AR130" s="398"/>
      <c r="AW130" s="398"/>
    </row>
    <row r="131" spans="4:49" s="158" customFormat="1">
      <c r="D131" s="398"/>
      <c r="I131" s="398"/>
      <c r="N131" s="398"/>
      <c r="S131" s="398"/>
      <c r="AH131" s="398"/>
      <c r="AM131" s="398"/>
      <c r="AR131" s="398"/>
      <c r="AW131" s="398"/>
    </row>
    <row r="132" spans="4:49" s="158" customFormat="1">
      <c r="D132" s="398"/>
      <c r="I132" s="398"/>
      <c r="N132" s="398"/>
      <c r="S132" s="398"/>
      <c r="AH132" s="398"/>
      <c r="AM132" s="398"/>
      <c r="AR132" s="398"/>
      <c r="AW132" s="398"/>
    </row>
    <row r="133" spans="4:49" s="158" customFormat="1">
      <c r="D133" s="398"/>
      <c r="I133" s="398"/>
      <c r="N133" s="398"/>
      <c r="S133" s="398"/>
      <c r="AH133" s="398"/>
      <c r="AM133" s="398"/>
      <c r="AR133" s="398"/>
      <c r="AW133" s="398"/>
    </row>
    <row r="134" spans="4:49" s="158" customFormat="1">
      <c r="D134" s="398"/>
      <c r="I134" s="398"/>
      <c r="N134" s="398"/>
      <c r="S134" s="398"/>
      <c r="AH134" s="398"/>
      <c r="AM134" s="398"/>
      <c r="AR134" s="398"/>
      <c r="AW134" s="398"/>
    </row>
    <row r="135" spans="4:49" s="158" customFormat="1">
      <c r="D135" s="398"/>
      <c r="I135" s="398"/>
      <c r="N135" s="398"/>
      <c r="S135" s="398"/>
      <c r="AH135" s="398"/>
      <c r="AM135" s="398"/>
      <c r="AR135" s="398"/>
      <c r="AW135" s="398"/>
    </row>
    <row r="136" spans="4:49" s="158" customFormat="1">
      <c r="D136" s="398"/>
      <c r="I136" s="398"/>
      <c r="N136" s="398"/>
      <c r="S136" s="398"/>
      <c r="AH136" s="398"/>
      <c r="AM136" s="398"/>
      <c r="AR136" s="398"/>
      <c r="AW136" s="398"/>
    </row>
    <row r="137" spans="4:49" s="158" customFormat="1">
      <c r="D137" s="398"/>
      <c r="I137" s="398"/>
      <c r="N137" s="398"/>
      <c r="S137" s="398"/>
      <c r="AH137" s="398"/>
      <c r="AM137" s="398"/>
      <c r="AR137" s="398"/>
      <c r="AW137" s="398"/>
    </row>
    <row r="138" spans="4:49" s="158" customFormat="1">
      <c r="D138" s="398"/>
      <c r="I138" s="398"/>
      <c r="N138" s="398"/>
      <c r="S138" s="398"/>
      <c r="AH138" s="398"/>
      <c r="AM138" s="398"/>
      <c r="AR138" s="398"/>
      <c r="AW138" s="398"/>
    </row>
    <row r="139" spans="4:49" s="158" customFormat="1">
      <c r="D139" s="398"/>
      <c r="I139" s="398"/>
      <c r="N139" s="398"/>
      <c r="S139" s="398"/>
      <c r="AH139" s="398"/>
      <c r="AM139" s="398"/>
      <c r="AR139" s="398"/>
      <c r="AW139" s="398"/>
    </row>
    <row r="140" spans="4:49" s="158" customFormat="1">
      <c r="D140" s="398"/>
      <c r="I140" s="398"/>
      <c r="N140" s="398"/>
      <c r="S140" s="398"/>
      <c r="AH140" s="398"/>
      <c r="AM140" s="398"/>
      <c r="AR140" s="398"/>
      <c r="AW140" s="398"/>
    </row>
    <row r="141" spans="4:49" s="158" customFormat="1">
      <c r="D141" s="398"/>
      <c r="I141" s="398"/>
      <c r="N141" s="398"/>
      <c r="S141" s="398"/>
      <c r="AH141" s="398"/>
      <c r="AM141" s="398"/>
      <c r="AR141" s="398"/>
      <c r="AW141" s="398"/>
    </row>
    <row r="142" spans="4:49" s="158" customFormat="1">
      <c r="D142" s="398"/>
      <c r="I142" s="398"/>
      <c r="N142" s="398"/>
      <c r="S142" s="398"/>
      <c r="AH142" s="398"/>
      <c r="AM142" s="398"/>
      <c r="AR142" s="398"/>
      <c r="AW142" s="398"/>
    </row>
    <row r="143" spans="4:49" s="158" customFormat="1">
      <c r="D143" s="398"/>
      <c r="I143" s="398"/>
      <c r="N143" s="398"/>
      <c r="S143" s="398"/>
      <c r="AH143" s="398"/>
      <c r="AM143" s="398"/>
      <c r="AR143" s="398"/>
      <c r="AW143" s="398"/>
    </row>
    <row r="144" spans="4:49" s="158" customFormat="1">
      <c r="D144" s="398"/>
      <c r="I144" s="398"/>
      <c r="N144" s="398"/>
      <c r="S144" s="398"/>
      <c r="AH144" s="398"/>
      <c r="AM144" s="398"/>
      <c r="AR144" s="398"/>
      <c r="AW144" s="398"/>
    </row>
    <row r="145" spans="4:49" s="158" customFormat="1">
      <c r="D145" s="398"/>
      <c r="I145" s="398"/>
      <c r="N145" s="398"/>
      <c r="S145" s="398"/>
      <c r="AH145" s="398"/>
      <c r="AM145" s="398"/>
      <c r="AR145" s="398"/>
      <c r="AW145" s="398"/>
    </row>
    <row r="146" spans="4:49" s="158" customFormat="1">
      <c r="D146" s="398"/>
      <c r="I146" s="398"/>
      <c r="N146" s="398"/>
      <c r="S146" s="398"/>
      <c r="AH146" s="398"/>
      <c r="AM146" s="398"/>
      <c r="AR146" s="398"/>
      <c r="AW146" s="398"/>
    </row>
    <row r="147" spans="4:49" s="158" customFormat="1">
      <c r="D147" s="398"/>
      <c r="I147" s="398"/>
      <c r="N147" s="398"/>
      <c r="S147" s="398"/>
      <c r="AH147" s="398"/>
      <c r="AM147" s="398"/>
      <c r="AR147" s="398"/>
      <c r="AW147" s="398"/>
    </row>
    <row r="148" spans="4:49" s="158" customFormat="1">
      <c r="D148" s="398"/>
      <c r="I148" s="398"/>
      <c r="N148" s="398"/>
      <c r="S148" s="398"/>
      <c r="AH148" s="398"/>
      <c r="AM148" s="398"/>
      <c r="AR148" s="398"/>
      <c r="AW148" s="398"/>
    </row>
    <row r="149" spans="4:49" s="158" customFormat="1">
      <c r="D149" s="398"/>
      <c r="I149" s="398"/>
      <c r="N149" s="398"/>
      <c r="S149" s="398"/>
      <c r="AH149" s="398"/>
      <c r="AM149" s="398"/>
      <c r="AR149" s="398"/>
      <c r="AW149" s="398"/>
    </row>
    <row r="150" spans="4:49" s="158" customFormat="1">
      <c r="D150" s="398"/>
      <c r="I150" s="398"/>
      <c r="N150" s="398"/>
      <c r="S150" s="398"/>
      <c r="AH150" s="398"/>
      <c r="AM150" s="398"/>
      <c r="AR150" s="398"/>
      <c r="AW150" s="398"/>
    </row>
    <row r="151" spans="4:49" s="158" customFormat="1">
      <c r="D151" s="398"/>
      <c r="I151" s="398"/>
      <c r="N151" s="398"/>
      <c r="S151" s="398"/>
      <c r="AH151" s="398"/>
      <c r="AM151" s="398"/>
      <c r="AR151" s="398"/>
      <c r="AW151" s="398"/>
    </row>
    <row r="152" spans="4:49" s="158" customFormat="1">
      <c r="D152" s="398"/>
      <c r="I152" s="398"/>
      <c r="N152" s="398"/>
      <c r="S152" s="398"/>
      <c r="AH152" s="398"/>
      <c r="AM152" s="398"/>
      <c r="AR152" s="398"/>
      <c r="AW152" s="398"/>
    </row>
    <row r="153" spans="4:49" s="158" customFormat="1">
      <c r="D153" s="398"/>
      <c r="I153" s="398"/>
      <c r="N153" s="398"/>
      <c r="S153" s="398"/>
      <c r="AH153" s="398"/>
      <c r="AM153" s="398"/>
      <c r="AR153" s="398"/>
      <c r="AW153" s="398"/>
    </row>
    <row r="154" spans="4:49" s="158" customFormat="1">
      <c r="D154" s="398"/>
      <c r="I154" s="398"/>
      <c r="N154" s="398"/>
      <c r="S154" s="398"/>
      <c r="AH154" s="398"/>
      <c r="AM154" s="398"/>
      <c r="AR154" s="398"/>
      <c r="AW154" s="398"/>
    </row>
    <row r="155" spans="4:49" s="158" customFormat="1">
      <c r="D155" s="398"/>
      <c r="I155" s="398"/>
      <c r="N155" s="398"/>
      <c r="S155" s="398"/>
      <c r="AH155" s="398"/>
      <c r="AM155" s="398"/>
      <c r="AR155" s="398"/>
      <c r="AW155" s="398"/>
    </row>
    <row r="156" spans="4:49" s="158" customFormat="1">
      <c r="D156" s="398"/>
      <c r="I156" s="398"/>
      <c r="N156" s="398"/>
      <c r="S156" s="398"/>
      <c r="AH156" s="398"/>
      <c r="AM156" s="398"/>
      <c r="AR156" s="398"/>
      <c r="AW156" s="398"/>
    </row>
    <row r="157" spans="4:49" s="158" customFormat="1">
      <c r="D157" s="398"/>
      <c r="I157" s="398"/>
      <c r="N157" s="398"/>
      <c r="S157" s="398"/>
      <c r="AH157" s="398"/>
      <c r="AM157" s="398"/>
      <c r="AR157" s="398"/>
      <c r="AW157" s="398"/>
    </row>
    <row r="158" spans="4:49" s="158" customFormat="1">
      <c r="D158" s="398"/>
      <c r="I158" s="398"/>
      <c r="N158" s="398"/>
      <c r="S158" s="398"/>
      <c r="AH158" s="398"/>
      <c r="AM158" s="398"/>
      <c r="AR158" s="398"/>
      <c r="AW158" s="398"/>
    </row>
    <row r="159" spans="4:49" s="158" customFormat="1">
      <c r="D159" s="398"/>
      <c r="I159" s="398"/>
      <c r="N159" s="398"/>
      <c r="S159" s="398"/>
      <c r="AH159" s="398"/>
      <c r="AM159" s="398"/>
      <c r="AR159" s="398"/>
      <c r="AW159" s="398"/>
    </row>
    <row r="160" spans="4:49" s="158" customFormat="1">
      <c r="D160" s="398"/>
      <c r="I160" s="398"/>
      <c r="N160" s="398"/>
      <c r="S160" s="398"/>
      <c r="AH160" s="398"/>
      <c r="AM160" s="398"/>
      <c r="AR160" s="398"/>
      <c r="AW160" s="398"/>
    </row>
    <row r="161" spans="4:49" s="158" customFormat="1">
      <c r="D161" s="398"/>
      <c r="I161" s="398"/>
      <c r="N161" s="398"/>
      <c r="S161" s="398"/>
      <c r="AH161" s="398"/>
      <c r="AM161" s="398"/>
      <c r="AR161" s="398"/>
      <c r="AW161" s="398"/>
    </row>
    <row r="162" spans="4:49" s="158" customFormat="1">
      <c r="D162" s="398"/>
      <c r="I162" s="398"/>
      <c r="N162" s="398"/>
      <c r="S162" s="398"/>
      <c r="AH162" s="398"/>
      <c r="AM162" s="398"/>
      <c r="AR162" s="398"/>
      <c r="AW162" s="398"/>
    </row>
    <row r="163" spans="4:49" s="158" customFormat="1">
      <c r="D163" s="398"/>
      <c r="I163" s="398"/>
      <c r="N163" s="398"/>
      <c r="S163" s="398"/>
      <c r="AH163" s="398"/>
      <c r="AM163" s="398"/>
      <c r="AR163" s="398"/>
      <c r="AW163" s="398"/>
    </row>
    <row r="164" spans="4:49" s="158" customFormat="1">
      <c r="D164" s="398"/>
      <c r="I164" s="398"/>
      <c r="N164" s="398"/>
      <c r="S164" s="398"/>
      <c r="AH164" s="398"/>
      <c r="AM164" s="398"/>
      <c r="AR164" s="398"/>
      <c r="AW164" s="398"/>
    </row>
    <row r="165" spans="4:49" s="158" customFormat="1">
      <c r="D165" s="398"/>
      <c r="I165" s="398"/>
      <c r="N165" s="398"/>
      <c r="S165" s="398"/>
      <c r="AH165" s="398"/>
      <c r="AM165" s="398"/>
      <c r="AR165" s="398"/>
      <c r="AW165" s="398"/>
    </row>
    <row r="166" spans="4:49" s="158" customFormat="1">
      <c r="D166" s="398"/>
      <c r="I166" s="398"/>
      <c r="N166" s="398"/>
      <c r="S166" s="398"/>
      <c r="AH166" s="398"/>
      <c r="AM166" s="398"/>
      <c r="AR166" s="398"/>
      <c r="AW166" s="398"/>
    </row>
    <row r="167" spans="4:49" s="158" customFormat="1">
      <c r="D167" s="398"/>
      <c r="I167" s="398"/>
      <c r="N167" s="398"/>
      <c r="S167" s="398"/>
      <c r="AH167" s="398"/>
      <c r="AM167" s="398"/>
      <c r="AR167" s="398"/>
      <c r="AW167" s="398"/>
    </row>
    <row r="168" spans="4:49" s="158" customFormat="1">
      <c r="D168" s="398"/>
      <c r="I168" s="398"/>
      <c r="N168" s="398"/>
      <c r="S168" s="398"/>
      <c r="AH168" s="398"/>
      <c r="AM168" s="398"/>
      <c r="AR168" s="398"/>
      <c r="AW168" s="398"/>
    </row>
    <row r="169" spans="4:49" s="158" customFormat="1">
      <c r="D169" s="398"/>
      <c r="I169" s="398"/>
      <c r="N169" s="398"/>
      <c r="S169" s="398"/>
      <c r="AH169" s="398"/>
      <c r="AM169" s="398"/>
      <c r="AR169" s="398"/>
      <c r="AW169" s="398"/>
    </row>
    <row r="170" spans="4:49" s="158" customFormat="1">
      <c r="D170" s="398"/>
      <c r="I170" s="398"/>
      <c r="N170" s="398"/>
      <c r="S170" s="398"/>
      <c r="AH170" s="398"/>
      <c r="AM170" s="398"/>
      <c r="AR170" s="398"/>
      <c r="AW170" s="398"/>
    </row>
    <row r="171" spans="4:49" s="158" customFormat="1">
      <c r="D171" s="398"/>
      <c r="I171" s="398"/>
      <c r="N171" s="398"/>
      <c r="S171" s="398"/>
      <c r="AH171" s="398"/>
      <c r="AM171" s="398"/>
      <c r="AR171" s="398"/>
      <c r="AW171" s="398"/>
    </row>
    <row r="172" spans="4:49" s="158" customFormat="1">
      <c r="D172" s="398"/>
      <c r="I172" s="398"/>
      <c r="N172" s="398"/>
      <c r="S172" s="398"/>
      <c r="AH172" s="398"/>
      <c r="AM172" s="398"/>
      <c r="AR172" s="398"/>
      <c r="AW172" s="398"/>
    </row>
    <row r="173" spans="4:49" s="158" customFormat="1">
      <c r="D173" s="398"/>
      <c r="I173" s="398"/>
      <c r="N173" s="398"/>
      <c r="S173" s="398"/>
      <c r="AH173" s="398"/>
      <c r="AM173" s="398"/>
      <c r="AR173" s="398"/>
      <c r="AW173" s="398"/>
    </row>
    <row r="174" spans="4:49" s="158" customFormat="1">
      <c r="D174" s="398"/>
      <c r="I174" s="398"/>
      <c r="N174" s="398"/>
      <c r="S174" s="398"/>
      <c r="AH174" s="398"/>
      <c r="AM174" s="398"/>
      <c r="AR174" s="398"/>
      <c r="AW174" s="398"/>
    </row>
    <row r="175" spans="4:49" s="158" customFormat="1">
      <c r="D175" s="398"/>
      <c r="I175" s="398"/>
      <c r="N175" s="398"/>
      <c r="S175" s="398"/>
      <c r="AH175" s="398"/>
      <c r="AM175" s="398"/>
      <c r="AR175" s="398"/>
      <c r="AW175" s="398"/>
    </row>
    <row r="176" spans="4:49" s="158" customFormat="1">
      <c r="D176" s="398"/>
      <c r="I176" s="398"/>
      <c r="N176" s="398"/>
      <c r="S176" s="398"/>
      <c r="AH176" s="398"/>
      <c r="AM176" s="398"/>
      <c r="AR176" s="398"/>
      <c r="AW176" s="398"/>
    </row>
    <row r="177" spans="4:49" s="158" customFormat="1">
      <c r="D177" s="398"/>
      <c r="I177" s="398"/>
      <c r="N177" s="398"/>
      <c r="S177" s="398"/>
      <c r="AH177" s="398"/>
      <c r="AM177" s="398"/>
      <c r="AR177" s="398"/>
      <c r="AW177" s="398"/>
    </row>
    <row r="178" spans="4:49" s="158" customFormat="1">
      <c r="D178" s="398"/>
      <c r="I178" s="398"/>
      <c r="N178" s="398"/>
      <c r="S178" s="398"/>
      <c r="AH178" s="398"/>
      <c r="AM178" s="398"/>
      <c r="AR178" s="398"/>
      <c r="AW178" s="398"/>
    </row>
    <row r="179" spans="4:49" s="158" customFormat="1">
      <c r="D179" s="398"/>
      <c r="I179" s="398"/>
      <c r="N179" s="398"/>
      <c r="S179" s="398"/>
      <c r="AH179" s="398"/>
      <c r="AM179" s="398"/>
      <c r="AR179" s="398"/>
      <c r="AW179" s="398"/>
    </row>
    <row r="180" spans="4:49" s="158" customFormat="1">
      <c r="D180" s="398"/>
      <c r="I180" s="398"/>
      <c r="N180" s="398"/>
      <c r="S180" s="398"/>
      <c r="AH180" s="398"/>
      <c r="AM180" s="398"/>
      <c r="AR180" s="398"/>
      <c r="AW180" s="398"/>
    </row>
    <row r="181" spans="4:49" s="158" customFormat="1">
      <c r="D181" s="398"/>
      <c r="I181" s="398"/>
      <c r="N181" s="398"/>
      <c r="S181" s="398"/>
      <c r="AH181" s="398"/>
      <c r="AM181" s="398"/>
      <c r="AR181" s="398"/>
      <c r="AW181" s="398"/>
    </row>
    <row r="182" spans="4:49" s="158" customFormat="1">
      <c r="D182" s="398"/>
      <c r="I182" s="398"/>
      <c r="N182" s="398"/>
      <c r="S182" s="398"/>
      <c r="AH182" s="398"/>
      <c r="AM182" s="398"/>
      <c r="AR182" s="398"/>
      <c r="AW182" s="398"/>
    </row>
    <row r="183" spans="4:49" s="158" customFormat="1">
      <c r="D183" s="398"/>
      <c r="I183" s="398"/>
      <c r="N183" s="398"/>
      <c r="S183" s="398"/>
      <c r="AH183" s="398"/>
      <c r="AM183" s="398"/>
      <c r="AR183" s="398"/>
      <c r="AW183" s="398"/>
    </row>
    <row r="184" spans="4:49" s="158" customFormat="1">
      <c r="D184" s="398"/>
      <c r="I184" s="398"/>
      <c r="N184" s="398"/>
      <c r="S184" s="398"/>
      <c r="AH184" s="398"/>
      <c r="AM184" s="398"/>
      <c r="AR184" s="398"/>
      <c r="AW184" s="398"/>
    </row>
    <row r="185" spans="4:49" s="158" customFormat="1">
      <c r="D185" s="398"/>
      <c r="I185" s="398"/>
      <c r="N185" s="398"/>
      <c r="S185" s="398"/>
      <c r="AH185" s="398"/>
      <c r="AM185" s="398"/>
      <c r="AR185" s="398"/>
      <c r="AW185" s="398"/>
    </row>
    <row r="186" spans="4:49" s="158" customFormat="1">
      <c r="D186" s="398"/>
      <c r="I186" s="398"/>
      <c r="N186" s="398"/>
      <c r="S186" s="398"/>
      <c r="AH186" s="398"/>
      <c r="AM186" s="398"/>
      <c r="AR186" s="398"/>
      <c r="AW186" s="398"/>
    </row>
    <row r="187" spans="4:49" s="158" customFormat="1">
      <c r="D187" s="398"/>
      <c r="I187" s="398"/>
      <c r="N187" s="398"/>
      <c r="S187" s="398"/>
      <c r="AH187" s="398"/>
      <c r="AM187" s="398"/>
      <c r="AR187" s="398"/>
      <c r="AW187" s="398"/>
    </row>
    <row r="188" spans="4:49" s="158" customFormat="1">
      <c r="D188" s="398"/>
      <c r="I188" s="398"/>
      <c r="N188" s="398"/>
      <c r="S188" s="398"/>
      <c r="AH188" s="398"/>
      <c r="AM188" s="398"/>
      <c r="AR188" s="398"/>
      <c r="AW188" s="398"/>
    </row>
    <row r="189" spans="4:49" s="158" customFormat="1">
      <c r="D189" s="398"/>
      <c r="I189" s="398"/>
      <c r="N189" s="398"/>
      <c r="S189" s="398"/>
      <c r="AH189" s="398"/>
      <c r="AM189" s="398"/>
      <c r="AR189" s="398"/>
      <c r="AW189" s="398"/>
    </row>
    <row r="190" spans="4:49" s="158" customFormat="1">
      <c r="D190" s="398"/>
      <c r="I190" s="398"/>
      <c r="N190" s="398"/>
      <c r="S190" s="398"/>
      <c r="AH190" s="398"/>
      <c r="AM190" s="398"/>
      <c r="AR190" s="398"/>
      <c r="AW190" s="398"/>
    </row>
    <row r="191" spans="4:49" s="158" customFormat="1">
      <c r="D191" s="398"/>
      <c r="I191" s="398"/>
      <c r="N191" s="398"/>
      <c r="S191" s="398"/>
      <c r="AH191" s="398"/>
      <c r="AM191" s="398"/>
      <c r="AR191" s="398"/>
      <c r="AW191" s="398"/>
    </row>
    <row r="192" spans="4:49" s="158" customFormat="1">
      <c r="D192" s="398"/>
      <c r="I192" s="398"/>
      <c r="N192" s="398"/>
      <c r="S192" s="398"/>
      <c r="AH192" s="398"/>
      <c r="AM192" s="398"/>
      <c r="AR192" s="398"/>
      <c r="AW192" s="398"/>
    </row>
    <row r="193" spans="4:49" s="158" customFormat="1">
      <c r="D193" s="398"/>
      <c r="I193" s="398"/>
      <c r="N193" s="398"/>
      <c r="S193" s="398"/>
      <c r="AH193" s="398"/>
      <c r="AM193" s="398"/>
      <c r="AR193" s="398"/>
      <c r="AW193" s="398"/>
    </row>
    <row r="194" spans="4:49" s="158" customFormat="1">
      <c r="D194" s="398"/>
      <c r="I194" s="398"/>
      <c r="N194" s="398"/>
      <c r="S194" s="398"/>
      <c r="AH194" s="398"/>
      <c r="AM194" s="398"/>
      <c r="AR194" s="398"/>
      <c r="AW194" s="398"/>
    </row>
    <row r="195" spans="4:49" s="158" customFormat="1">
      <c r="D195" s="398"/>
      <c r="I195" s="398"/>
      <c r="N195" s="398"/>
      <c r="S195" s="398"/>
      <c r="AH195" s="398"/>
      <c r="AM195" s="398"/>
      <c r="AR195" s="398"/>
      <c r="AW195" s="398"/>
    </row>
    <row r="196" spans="4:49" s="158" customFormat="1">
      <c r="D196" s="398"/>
      <c r="I196" s="398"/>
      <c r="N196" s="398"/>
      <c r="S196" s="398"/>
      <c r="AH196" s="398"/>
      <c r="AM196" s="398"/>
      <c r="AR196" s="398"/>
      <c r="AW196" s="398"/>
    </row>
    <row r="197" spans="4:49" s="158" customFormat="1">
      <c r="D197" s="398"/>
      <c r="I197" s="398"/>
      <c r="N197" s="398"/>
      <c r="S197" s="398"/>
      <c r="AH197" s="398"/>
      <c r="AM197" s="398"/>
      <c r="AR197" s="398"/>
      <c r="AW197" s="398"/>
    </row>
    <row r="198" spans="4:49" s="158" customFormat="1">
      <c r="D198" s="398"/>
      <c r="I198" s="398"/>
      <c r="N198" s="398"/>
      <c r="S198" s="398"/>
      <c r="AH198" s="398"/>
      <c r="AM198" s="398"/>
      <c r="AR198" s="398"/>
      <c r="AW198" s="398"/>
    </row>
    <row r="199" spans="4:49" s="158" customFormat="1">
      <c r="D199" s="398"/>
      <c r="I199" s="398"/>
      <c r="N199" s="398"/>
      <c r="S199" s="398"/>
      <c r="AH199" s="398"/>
      <c r="AM199" s="398"/>
      <c r="AR199" s="398"/>
      <c r="AW199" s="398"/>
    </row>
    <row r="200" spans="4:49" s="158" customFormat="1">
      <c r="D200" s="398"/>
      <c r="I200" s="398"/>
      <c r="N200" s="398"/>
      <c r="S200" s="398"/>
      <c r="AH200" s="398"/>
      <c r="AM200" s="398"/>
      <c r="AR200" s="398"/>
      <c r="AW200" s="398"/>
    </row>
    <row r="201" spans="4:49" s="158" customFormat="1">
      <c r="D201" s="398"/>
      <c r="I201" s="398"/>
      <c r="N201" s="398"/>
      <c r="S201" s="398"/>
      <c r="AH201" s="398"/>
      <c r="AM201" s="398"/>
      <c r="AR201" s="398"/>
      <c r="AW201" s="398"/>
    </row>
    <row r="202" spans="4:49" s="158" customFormat="1">
      <c r="D202" s="398"/>
      <c r="I202" s="398"/>
      <c r="N202" s="398"/>
      <c r="S202" s="398"/>
      <c r="AH202" s="398"/>
      <c r="AM202" s="398"/>
      <c r="AR202" s="398"/>
      <c r="AW202" s="398"/>
    </row>
    <row r="203" spans="4:49" s="158" customFormat="1">
      <c r="D203" s="398"/>
      <c r="I203" s="398"/>
      <c r="N203" s="398"/>
      <c r="S203" s="398"/>
      <c r="AH203" s="398"/>
      <c r="AM203" s="398"/>
      <c r="AR203" s="398"/>
      <c r="AW203" s="398"/>
    </row>
    <row r="204" spans="4:49" s="158" customFormat="1">
      <c r="D204" s="398"/>
      <c r="I204" s="398"/>
      <c r="N204" s="398"/>
      <c r="S204" s="398"/>
      <c r="AH204" s="398"/>
      <c r="AM204" s="398"/>
      <c r="AR204" s="398"/>
      <c r="AW204" s="398"/>
    </row>
    <row r="205" spans="4:49" s="158" customFormat="1">
      <c r="D205" s="398"/>
      <c r="I205" s="398"/>
      <c r="N205" s="398"/>
      <c r="S205" s="398"/>
      <c r="AH205" s="398"/>
      <c r="AM205" s="398"/>
      <c r="AR205" s="398"/>
      <c r="AW205" s="398"/>
    </row>
    <row r="206" spans="4:49" s="158" customFormat="1">
      <c r="D206" s="398"/>
      <c r="I206" s="398"/>
      <c r="N206" s="398"/>
      <c r="S206" s="398"/>
      <c r="AH206" s="398"/>
      <c r="AM206" s="398"/>
      <c r="AR206" s="398"/>
      <c r="AW206" s="398"/>
    </row>
    <row r="207" spans="4:49" s="158" customFormat="1">
      <c r="D207" s="398"/>
      <c r="I207" s="398"/>
      <c r="N207" s="398"/>
      <c r="S207" s="398"/>
      <c r="AH207" s="398"/>
      <c r="AM207" s="398"/>
      <c r="AR207" s="398"/>
      <c r="AW207" s="398"/>
    </row>
    <row r="208" spans="4:49" s="158" customFormat="1">
      <c r="D208" s="398"/>
      <c r="I208" s="398"/>
      <c r="N208" s="398"/>
      <c r="S208" s="398"/>
      <c r="AH208" s="398"/>
      <c r="AM208" s="398"/>
      <c r="AR208" s="398"/>
      <c r="AW208" s="398"/>
    </row>
    <row r="209" spans="4:49" s="158" customFormat="1">
      <c r="D209" s="398"/>
      <c r="I209" s="398"/>
      <c r="N209" s="398"/>
      <c r="S209" s="398"/>
      <c r="AH209" s="398"/>
      <c r="AM209" s="398"/>
      <c r="AR209" s="398"/>
      <c r="AW209" s="398"/>
    </row>
    <row r="210" spans="4:49" s="158" customFormat="1">
      <c r="D210" s="398"/>
      <c r="I210" s="398"/>
      <c r="N210" s="398"/>
      <c r="S210" s="398"/>
      <c r="AH210" s="398"/>
      <c r="AM210" s="398"/>
      <c r="AR210" s="398"/>
      <c r="AW210" s="398"/>
    </row>
    <row r="211" spans="4:49" s="158" customFormat="1">
      <c r="D211" s="398"/>
      <c r="I211" s="398"/>
      <c r="N211" s="398"/>
      <c r="S211" s="398"/>
      <c r="AH211" s="398"/>
      <c r="AM211" s="398"/>
      <c r="AR211" s="398"/>
      <c r="AW211" s="398"/>
    </row>
    <row r="212" spans="4:49" s="158" customFormat="1">
      <c r="D212" s="398"/>
      <c r="I212" s="398"/>
      <c r="N212" s="398"/>
      <c r="S212" s="398"/>
      <c r="AH212" s="398"/>
      <c r="AM212" s="398"/>
      <c r="AR212" s="398"/>
      <c r="AW212" s="398"/>
    </row>
    <row r="213" spans="4:49" s="158" customFormat="1">
      <c r="D213" s="398"/>
      <c r="I213" s="398"/>
      <c r="N213" s="398"/>
      <c r="S213" s="398"/>
      <c r="AH213" s="398"/>
      <c r="AM213" s="398"/>
      <c r="AR213" s="398"/>
      <c r="AW213" s="398"/>
    </row>
    <row r="214" spans="4:49" s="158" customFormat="1">
      <c r="D214" s="398"/>
      <c r="I214" s="398"/>
      <c r="N214" s="398"/>
      <c r="S214" s="398"/>
      <c r="AH214" s="398"/>
      <c r="AM214" s="398"/>
      <c r="AR214" s="398"/>
      <c r="AW214" s="398"/>
    </row>
    <row r="215" spans="4:49" s="158" customFormat="1">
      <c r="D215" s="398"/>
      <c r="I215" s="398"/>
      <c r="N215" s="398"/>
      <c r="S215" s="398"/>
      <c r="AH215" s="398"/>
      <c r="AM215" s="398"/>
      <c r="AR215" s="398"/>
      <c r="AW215" s="398"/>
    </row>
    <row r="216" spans="4:49" s="158" customFormat="1">
      <c r="D216" s="398"/>
      <c r="I216" s="398"/>
      <c r="N216" s="398"/>
      <c r="S216" s="398"/>
      <c r="AH216" s="398"/>
      <c r="AM216" s="398"/>
      <c r="AR216" s="398"/>
      <c r="AW216" s="398"/>
    </row>
    <row r="217" spans="4:49" s="158" customFormat="1">
      <c r="D217" s="398"/>
      <c r="I217" s="398"/>
      <c r="N217" s="398"/>
      <c r="S217" s="398"/>
      <c r="AH217" s="398"/>
      <c r="AM217" s="398"/>
      <c r="AR217" s="398"/>
      <c r="AW217" s="398"/>
    </row>
    <row r="218" spans="4:49" s="158" customFormat="1">
      <c r="D218" s="398"/>
      <c r="I218" s="398"/>
      <c r="N218" s="398"/>
      <c r="S218" s="398"/>
      <c r="AH218" s="398"/>
      <c r="AM218" s="398"/>
      <c r="AR218" s="398"/>
      <c r="AW218" s="398"/>
    </row>
    <row r="219" spans="4:49" s="158" customFormat="1">
      <c r="D219" s="398"/>
      <c r="I219" s="398"/>
      <c r="N219" s="398"/>
      <c r="S219" s="398"/>
      <c r="AH219" s="398"/>
      <c r="AM219" s="398"/>
      <c r="AR219" s="398"/>
      <c r="AW219" s="398"/>
    </row>
    <row r="220" spans="4:49" s="158" customFormat="1">
      <c r="D220" s="398"/>
      <c r="I220" s="398"/>
      <c r="N220" s="398"/>
      <c r="S220" s="398"/>
      <c r="AH220" s="398"/>
      <c r="AM220" s="398"/>
      <c r="AR220" s="398"/>
      <c r="AW220" s="398"/>
    </row>
    <row r="221" spans="4:49" s="158" customFormat="1">
      <c r="D221" s="398"/>
      <c r="I221" s="398"/>
      <c r="N221" s="398"/>
      <c r="S221" s="398"/>
      <c r="AH221" s="398"/>
      <c r="AM221" s="398"/>
      <c r="AR221" s="398"/>
      <c r="AW221" s="398"/>
    </row>
    <row r="222" spans="4:49" s="158" customFormat="1">
      <c r="D222" s="398"/>
      <c r="I222" s="398"/>
      <c r="N222" s="398"/>
      <c r="S222" s="398"/>
      <c r="AH222" s="398"/>
      <c r="AM222" s="398"/>
      <c r="AR222" s="398"/>
      <c r="AW222" s="398"/>
    </row>
    <row r="223" spans="4:49" s="158" customFormat="1">
      <c r="D223" s="398"/>
      <c r="I223" s="398"/>
      <c r="N223" s="398"/>
      <c r="S223" s="398"/>
      <c r="AH223" s="398"/>
      <c r="AM223" s="398"/>
      <c r="AR223" s="398"/>
      <c r="AW223" s="398"/>
    </row>
    <row r="224" spans="4:49" s="158" customFormat="1">
      <c r="D224" s="398"/>
      <c r="I224" s="398"/>
      <c r="N224" s="398"/>
      <c r="S224" s="398"/>
      <c r="AH224" s="398"/>
      <c r="AM224" s="398"/>
      <c r="AR224" s="398"/>
      <c r="AW224" s="398"/>
    </row>
    <row r="225" spans="4:49" s="158" customFormat="1">
      <c r="D225" s="398"/>
      <c r="I225" s="398"/>
      <c r="N225" s="398"/>
      <c r="S225" s="398"/>
      <c r="AH225" s="398"/>
      <c r="AM225" s="398"/>
      <c r="AR225" s="398"/>
      <c r="AW225" s="398"/>
    </row>
    <row r="226" spans="4:49" s="158" customFormat="1">
      <c r="D226" s="398"/>
      <c r="I226" s="398"/>
      <c r="N226" s="398"/>
      <c r="S226" s="398"/>
      <c r="AH226" s="398"/>
      <c r="AM226" s="398"/>
      <c r="AR226" s="398"/>
      <c r="AW226" s="398"/>
    </row>
    <row r="227" spans="4:49" s="158" customFormat="1">
      <c r="D227" s="398"/>
      <c r="I227" s="398"/>
      <c r="N227" s="398"/>
      <c r="S227" s="398"/>
      <c r="AH227" s="398"/>
      <c r="AM227" s="398"/>
      <c r="AR227" s="398"/>
      <c r="AW227" s="398"/>
    </row>
    <row r="228" spans="4:49" s="158" customFormat="1">
      <c r="D228" s="398"/>
      <c r="I228" s="398"/>
      <c r="N228" s="398"/>
      <c r="S228" s="398"/>
      <c r="AH228" s="398"/>
      <c r="AM228" s="398"/>
      <c r="AR228" s="398"/>
      <c r="AW228" s="398"/>
    </row>
    <row r="229" spans="4:49" s="158" customFormat="1">
      <c r="D229" s="398"/>
      <c r="I229" s="398"/>
      <c r="N229" s="398"/>
      <c r="S229" s="398"/>
      <c r="AH229" s="398"/>
      <c r="AM229" s="398"/>
      <c r="AR229" s="398"/>
      <c r="AW229" s="398"/>
    </row>
    <row r="230" spans="4:49" s="158" customFormat="1">
      <c r="D230" s="398"/>
      <c r="I230" s="398"/>
      <c r="N230" s="398"/>
      <c r="S230" s="398"/>
      <c r="AH230" s="398"/>
      <c r="AM230" s="398"/>
      <c r="AR230" s="398"/>
      <c r="AW230" s="398"/>
    </row>
    <row r="231" spans="4:49" s="158" customFormat="1">
      <c r="D231" s="398"/>
      <c r="I231" s="398"/>
      <c r="N231" s="398"/>
      <c r="S231" s="398"/>
      <c r="AH231" s="398"/>
      <c r="AM231" s="398"/>
      <c r="AR231" s="398"/>
      <c r="AW231" s="398"/>
    </row>
    <row r="232" spans="4:49" s="158" customFormat="1">
      <c r="D232" s="398"/>
      <c r="I232" s="398"/>
      <c r="N232" s="398"/>
      <c r="S232" s="398"/>
      <c r="AH232" s="398"/>
      <c r="AM232" s="398"/>
      <c r="AR232" s="398"/>
      <c r="AW232" s="398"/>
    </row>
    <row r="233" spans="4:49" s="158" customFormat="1">
      <c r="D233" s="398"/>
      <c r="I233" s="398"/>
      <c r="N233" s="398"/>
      <c r="S233" s="398"/>
      <c r="AH233" s="398"/>
      <c r="AM233" s="398"/>
      <c r="AR233" s="398"/>
      <c r="AW233" s="398"/>
    </row>
    <row r="234" spans="4:49" s="158" customFormat="1">
      <c r="D234" s="398"/>
      <c r="I234" s="398"/>
      <c r="N234" s="398"/>
      <c r="S234" s="398"/>
      <c r="AH234" s="398"/>
      <c r="AM234" s="398"/>
      <c r="AR234" s="398"/>
      <c r="AW234" s="398"/>
    </row>
    <row r="235" spans="4:49" s="158" customFormat="1">
      <c r="D235" s="398"/>
      <c r="I235" s="398"/>
      <c r="N235" s="398"/>
      <c r="S235" s="398"/>
      <c r="AH235" s="398"/>
      <c r="AM235" s="398"/>
      <c r="AR235" s="398"/>
      <c r="AW235" s="398"/>
    </row>
    <row r="236" spans="4:49" s="158" customFormat="1">
      <c r="D236" s="398"/>
      <c r="I236" s="398"/>
      <c r="N236" s="398"/>
      <c r="S236" s="398"/>
      <c r="AH236" s="398"/>
      <c r="AM236" s="398"/>
      <c r="AR236" s="398"/>
      <c r="AW236" s="398"/>
    </row>
    <row r="237" spans="4:49" s="158" customFormat="1">
      <c r="D237" s="398"/>
      <c r="I237" s="398"/>
      <c r="N237" s="398"/>
      <c r="S237" s="398"/>
      <c r="AH237" s="398"/>
      <c r="AM237" s="398"/>
      <c r="AR237" s="398"/>
      <c r="AW237" s="398"/>
    </row>
    <row r="238" spans="4:49" s="158" customFormat="1">
      <c r="D238" s="398"/>
      <c r="I238" s="398"/>
      <c r="N238" s="398"/>
      <c r="S238" s="398"/>
      <c r="AH238" s="398"/>
      <c r="AM238" s="398"/>
      <c r="AR238" s="398"/>
      <c r="AW238" s="398"/>
    </row>
    <row r="239" spans="4:49" s="158" customFormat="1">
      <c r="D239" s="398"/>
      <c r="I239" s="398"/>
      <c r="N239" s="398"/>
      <c r="S239" s="398"/>
      <c r="AH239" s="398"/>
      <c r="AM239" s="398"/>
      <c r="AR239" s="398"/>
      <c r="AW239" s="398"/>
    </row>
    <row r="240" spans="4:49" s="158" customFormat="1">
      <c r="D240" s="398"/>
      <c r="I240" s="398"/>
      <c r="N240" s="398"/>
      <c r="S240" s="398"/>
      <c r="AH240" s="398"/>
      <c r="AM240" s="398"/>
      <c r="AR240" s="398"/>
      <c r="AW240" s="398"/>
    </row>
    <row r="241" spans="4:49" s="158" customFormat="1">
      <c r="D241" s="398"/>
      <c r="I241" s="398"/>
      <c r="N241" s="398"/>
      <c r="S241" s="398"/>
      <c r="AH241" s="398"/>
      <c r="AM241" s="398"/>
      <c r="AR241" s="398"/>
      <c r="AW241" s="398"/>
    </row>
    <row r="242" spans="4:49" s="158" customFormat="1">
      <c r="D242" s="398"/>
      <c r="I242" s="398"/>
      <c r="N242" s="398"/>
      <c r="S242" s="398"/>
      <c r="AH242" s="398"/>
      <c r="AM242" s="398"/>
      <c r="AR242" s="398"/>
      <c r="AW242" s="398"/>
    </row>
    <row r="243" spans="4:49" s="158" customFormat="1">
      <c r="D243" s="398"/>
      <c r="I243" s="398"/>
      <c r="N243" s="398"/>
      <c r="S243" s="398"/>
      <c r="AH243" s="398"/>
      <c r="AM243" s="398"/>
      <c r="AR243" s="398"/>
      <c r="AW243" s="398"/>
    </row>
    <row r="244" spans="4:49" s="158" customFormat="1">
      <c r="D244" s="398"/>
      <c r="I244" s="398"/>
      <c r="N244" s="398"/>
      <c r="S244" s="398"/>
      <c r="AH244" s="398"/>
      <c r="AM244" s="398"/>
      <c r="AR244" s="398"/>
      <c r="AW244" s="398"/>
    </row>
    <row r="245" spans="4:49" s="158" customFormat="1">
      <c r="D245" s="398"/>
      <c r="I245" s="398"/>
      <c r="N245" s="398"/>
      <c r="S245" s="398"/>
      <c r="AH245" s="398"/>
      <c r="AM245" s="398"/>
      <c r="AR245" s="398"/>
      <c r="AW245" s="398"/>
    </row>
    <row r="246" spans="4:49" s="158" customFormat="1">
      <c r="D246" s="398"/>
      <c r="I246" s="398"/>
      <c r="N246" s="398"/>
      <c r="S246" s="398"/>
      <c r="AH246" s="398"/>
      <c r="AM246" s="398"/>
      <c r="AR246" s="398"/>
      <c r="AW246" s="398"/>
    </row>
    <row r="247" spans="4:49" s="158" customFormat="1">
      <c r="D247" s="398"/>
      <c r="I247" s="398"/>
      <c r="N247" s="398"/>
      <c r="S247" s="398"/>
      <c r="AH247" s="398"/>
      <c r="AM247" s="398"/>
      <c r="AR247" s="398"/>
      <c r="AW247" s="398"/>
    </row>
    <row r="248" spans="4:49" s="158" customFormat="1">
      <c r="D248" s="398"/>
      <c r="I248" s="398"/>
      <c r="N248" s="398"/>
      <c r="S248" s="398"/>
      <c r="AH248" s="398"/>
      <c r="AM248" s="398"/>
      <c r="AR248" s="398"/>
      <c r="AW248" s="398"/>
    </row>
    <row r="249" spans="4:49" s="158" customFormat="1">
      <c r="D249" s="398"/>
      <c r="I249" s="398"/>
      <c r="N249" s="398"/>
      <c r="S249" s="398"/>
      <c r="AH249" s="398"/>
      <c r="AM249" s="398"/>
      <c r="AR249" s="398"/>
      <c r="AW249" s="398"/>
    </row>
    <row r="250" spans="4:49" s="158" customFormat="1">
      <c r="D250" s="398"/>
      <c r="I250" s="398"/>
      <c r="N250" s="398"/>
      <c r="S250" s="398"/>
      <c r="AH250" s="398"/>
      <c r="AM250" s="398"/>
      <c r="AR250" s="398"/>
      <c r="AW250" s="398"/>
    </row>
    <row r="251" spans="4:49" s="158" customFormat="1">
      <c r="D251" s="398"/>
      <c r="I251" s="398"/>
      <c r="N251" s="398"/>
      <c r="S251" s="398"/>
      <c r="AH251" s="398"/>
      <c r="AM251" s="398"/>
      <c r="AR251" s="398"/>
      <c r="AW251" s="398"/>
    </row>
    <row r="252" spans="4:49" s="158" customFormat="1">
      <c r="D252" s="398"/>
      <c r="I252" s="398"/>
      <c r="N252" s="398"/>
      <c r="S252" s="398"/>
      <c r="AH252" s="398"/>
      <c r="AM252" s="398"/>
      <c r="AR252" s="398"/>
      <c r="AW252" s="398"/>
    </row>
    <row r="253" spans="4:49" s="158" customFormat="1">
      <c r="D253" s="398"/>
      <c r="I253" s="398"/>
      <c r="N253" s="398"/>
      <c r="S253" s="398"/>
      <c r="AH253" s="398"/>
      <c r="AM253" s="398"/>
      <c r="AR253" s="398"/>
      <c r="AW253" s="398"/>
    </row>
    <row r="254" spans="4:49" s="158" customFormat="1">
      <c r="D254" s="398"/>
      <c r="I254" s="398"/>
      <c r="N254" s="398"/>
      <c r="S254" s="398"/>
      <c r="AH254" s="398"/>
      <c r="AM254" s="398"/>
      <c r="AR254" s="398"/>
      <c r="AW254" s="398"/>
    </row>
    <row r="255" spans="4:49" s="158" customFormat="1">
      <c r="D255" s="398"/>
      <c r="I255" s="398"/>
      <c r="N255" s="398"/>
      <c r="S255" s="398"/>
      <c r="AH255" s="398"/>
      <c r="AM255" s="398"/>
      <c r="AR255" s="398"/>
      <c r="AW255" s="398"/>
    </row>
    <row r="256" spans="4:49" s="158" customFormat="1">
      <c r="D256" s="398"/>
      <c r="I256" s="398"/>
      <c r="N256" s="398"/>
      <c r="S256" s="398"/>
      <c r="AH256" s="398"/>
      <c r="AM256" s="398"/>
      <c r="AR256" s="398"/>
      <c r="AW256" s="398"/>
    </row>
    <row r="257" spans="4:49" s="158" customFormat="1">
      <c r="D257" s="398"/>
      <c r="I257" s="398"/>
      <c r="N257" s="398"/>
      <c r="S257" s="398"/>
      <c r="AH257" s="398"/>
      <c r="AM257" s="398"/>
      <c r="AR257" s="398"/>
      <c r="AW257" s="398"/>
    </row>
    <row r="258" spans="4:49" s="158" customFormat="1">
      <c r="D258" s="398"/>
      <c r="I258" s="398"/>
      <c r="N258" s="398"/>
      <c r="S258" s="398"/>
      <c r="AH258" s="398"/>
      <c r="AM258" s="398"/>
      <c r="AR258" s="398"/>
      <c r="AW258" s="398"/>
    </row>
    <row r="259" spans="4:49" s="158" customFormat="1">
      <c r="D259" s="398"/>
      <c r="I259" s="398"/>
      <c r="N259" s="398"/>
      <c r="S259" s="398"/>
      <c r="AH259" s="398"/>
      <c r="AM259" s="398"/>
      <c r="AR259" s="398"/>
      <c r="AW259" s="398"/>
    </row>
    <row r="260" spans="4:49" s="158" customFormat="1">
      <c r="D260" s="398"/>
      <c r="I260" s="398"/>
      <c r="N260" s="398"/>
      <c r="S260" s="398"/>
      <c r="AH260" s="398"/>
      <c r="AM260" s="398"/>
      <c r="AR260" s="398"/>
      <c r="AW260" s="398"/>
    </row>
    <row r="261" spans="4:49" s="158" customFormat="1">
      <c r="D261" s="398"/>
      <c r="I261" s="398"/>
      <c r="N261" s="398"/>
      <c r="S261" s="398"/>
      <c r="AH261" s="398"/>
      <c r="AM261" s="398"/>
      <c r="AR261" s="398"/>
      <c r="AW261" s="398"/>
    </row>
    <row r="262" spans="4:49" s="158" customFormat="1">
      <c r="D262" s="398"/>
      <c r="I262" s="398"/>
      <c r="N262" s="398"/>
      <c r="S262" s="398"/>
      <c r="AH262" s="398"/>
      <c r="AM262" s="398"/>
      <c r="AR262" s="398"/>
      <c r="AW262" s="398"/>
    </row>
    <row r="263" spans="4:49" s="158" customFormat="1">
      <c r="D263" s="398"/>
      <c r="I263" s="398"/>
      <c r="N263" s="398"/>
      <c r="S263" s="398"/>
      <c r="AH263" s="398"/>
      <c r="AM263" s="398"/>
      <c r="AR263" s="398"/>
      <c r="AW263" s="398"/>
    </row>
    <row r="264" spans="4:49" s="158" customFormat="1">
      <c r="D264" s="398"/>
      <c r="I264" s="398"/>
      <c r="N264" s="398"/>
      <c r="S264" s="398"/>
      <c r="AH264" s="398"/>
      <c r="AM264" s="398"/>
      <c r="AR264" s="398"/>
      <c r="AW264" s="398"/>
    </row>
    <row r="265" spans="4:49" s="158" customFormat="1">
      <c r="D265" s="398"/>
      <c r="I265" s="398"/>
      <c r="N265" s="398"/>
      <c r="S265" s="398"/>
      <c r="AH265" s="398"/>
      <c r="AM265" s="398"/>
      <c r="AR265" s="398"/>
      <c r="AW265" s="398"/>
    </row>
    <row r="266" spans="4:49" s="158" customFormat="1">
      <c r="D266" s="398"/>
      <c r="I266" s="398"/>
      <c r="N266" s="398"/>
      <c r="S266" s="398"/>
      <c r="AH266" s="398"/>
      <c r="AM266" s="398"/>
      <c r="AR266" s="398"/>
      <c r="AW266" s="398"/>
    </row>
    <row r="267" spans="4:49" s="158" customFormat="1">
      <c r="D267" s="398"/>
      <c r="I267" s="398"/>
      <c r="N267" s="398"/>
      <c r="S267" s="398"/>
      <c r="AH267" s="398"/>
      <c r="AM267" s="398"/>
      <c r="AR267" s="398"/>
      <c r="AW267" s="398"/>
    </row>
    <row r="268" spans="4:49" s="158" customFormat="1">
      <c r="D268" s="398"/>
      <c r="I268" s="398"/>
      <c r="N268" s="398"/>
      <c r="S268" s="398"/>
      <c r="AH268" s="398"/>
      <c r="AM268" s="398"/>
      <c r="AR268" s="398"/>
      <c r="AW268" s="398"/>
    </row>
    <row r="269" spans="4:49" s="158" customFormat="1">
      <c r="D269" s="398"/>
      <c r="I269" s="398"/>
      <c r="N269" s="398"/>
      <c r="S269" s="398"/>
      <c r="AH269" s="398"/>
      <c r="AM269" s="398"/>
      <c r="AR269" s="398"/>
      <c r="AW269" s="398"/>
    </row>
    <row r="270" spans="4:49" s="158" customFormat="1">
      <c r="D270" s="398"/>
      <c r="I270" s="398"/>
      <c r="N270" s="398"/>
      <c r="S270" s="398"/>
      <c r="AH270" s="398"/>
      <c r="AM270" s="398"/>
      <c r="AR270" s="398"/>
      <c r="AW270" s="398"/>
    </row>
    <row r="271" spans="4:49" s="158" customFormat="1">
      <c r="D271" s="398"/>
      <c r="I271" s="398"/>
      <c r="N271" s="398"/>
      <c r="S271" s="398"/>
      <c r="AH271" s="398"/>
      <c r="AM271" s="398"/>
      <c r="AR271" s="398"/>
      <c r="AW271" s="398"/>
    </row>
    <row r="272" spans="4:49" s="158" customFormat="1">
      <c r="D272" s="398"/>
      <c r="I272" s="398"/>
      <c r="N272" s="398"/>
      <c r="S272" s="398"/>
      <c r="AH272" s="398"/>
      <c r="AM272" s="398"/>
      <c r="AR272" s="398"/>
      <c r="AW272" s="398"/>
    </row>
    <row r="273" spans="4:49" s="158" customFormat="1">
      <c r="D273" s="398"/>
      <c r="I273" s="398"/>
      <c r="N273" s="398"/>
      <c r="S273" s="398"/>
      <c r="AH273" s="398"/>
      <c r="AM273" s="398"/>
      <c r="AR273" s="398"/>
      <c r="AW273" s="398"/>
    </row>
    <row r="274" spans="4:49" s="158" customFormat="1">
      <c r="D274" s="398"/>
      <c r="I274" s="398"/>
      <c r="N274" s="398"/>
      <c r="S274" s="398"/>
      <c r="AH274" s="398"/>
      <c r="AM274" s="398"/>
      <c r="AR274" s="398"/>
      <c r="AW274" s="398"/>
    </row>
    <row r="275" spans="4:49" s="158" customFormat="1">
      <c r="D275" s="398"/>
      <c r="I275" s="398"/>
      <c r="N275" s="398"/>
      <c r="S275" s="398"/>
      <c r="AH275" s="398"/>
      <c r="AM275" s="398"/>
      <c r="AR275" s="398"/>
      <c r="AW275" s="398"/>
    </row>
    <row r="276" spans="4:49" s="158" customFormat="1">
      <c r="D276" s="398"/>
      <c r="I276" s="398"/>
      <c r="N276" s="398"/>
      <c r="S276" s="398"/>
      <c r="AH276" s="398"/>
      <c r="AM276" s="398"/>
      <c r="AR276" s="398"/>
      <c r="AW276" s="398"/>
    </row>
    <row r="277" spans="4:49" s="158" customFormat="1">
      <c r="D277" s="398"/>
      <c r="I277" s="398"/>
      <c r="N277" s="398"/>
      <c r="S277" s="398"/>
      <c r="AH277" s="398"/>
      <c r="AM277" s="398"/>
      <c r="AR277" s="398"/>
      <c r="AW277" s="398"/>
    </row>
    <row r="278" spans="4:49" s="158" customFormat="1">
      <c r="D278" s="398"/>
      <c r="I278" s="398"/>
      <c r="N278" s="398"/>
      <c r="S278" s="398"/>
      <c r="AH278" s="398"/>
      <c r="AM278" s="398"/>
      <c r="AR278" s="398"/>
      <c r="AW278" s="398"/>
    </row>
    <row r="279" spans="4:49" s="158" customFormat="1">
      <c r="D279" s="398"/>
      <c r="I279" s="398"/>
      <c r="N279" s="398"/>
      <c r="S279" s="398"/>
      <c r="AH279" s="398"/>
      <c r="AM279" s="398"/>
      <c r="AR279" s="398"/>
      <c r="AW279" s="398"/>
    </row>
    <row r="280" spans="4:49" s="158" customFormat="1">
      <c r="D280" s="398"/>
      <c r="I280" s="398"/>
      <c r="N280" s="398"/>
      <c r="S280" s="398"/>
      <c r="AH280" s="398"/>
      <c r="AM280" s="398"/>
      <c r="AR280" s="398"/>
      <c r="AW280" s="398"/>
    </row>
    <row r="281" spans="4:49" s="158" customFormat="1">
      <c r="D281" s="398"/>
      <c r="I281" s="398"/>
      <c r="N281" s="398"/>
      <c r="S281" s="398"/>
      <c r="AH281" s="398"/>
      <c r="AM281" s="398"/>
      <c r="AR281" s="398"/>
      <c r="AW281" s="398"/>
    </row>
    <row r="282" spans="4:49" s="158" customFormat="1">
      <c r="D282" s="398"/>
      <c r="I282" s="398"/>
      <c r="N282" s="398"/>
      <c r="S282" s="398"/>
      <c r="AH282" s="398"/>
      <c r="AM282" s="398"/>
      <c r="AR282" s="398"/>
      <c r="AW282" s="398"/>
    </row>
    <row r="283" spans="4:49" s="158" customFormat="1">
      <c r="D283" s="398"/>
      <c r="I283" s="398"/>
      <c r="N283" s="398"/>
      <c r="S283" s="398"/>
      <c r="AH283" s="398"/>
      <c r="AM283" s="398"/>
      <c r="AR283" s="398"/>
      <c r="AW283" s="398"/>
    </row>
    <row r="284" spans="4:49" s="158" customFormat="1">
      <c r="D284" s="398"/>
      <c r="I284" s="398"/>
      <c r="N284" s="398"/>
      <c r="S284" s="398"/>
      <c r="AH284" s="398"/>
      <c r="AM284" s="398"/>
      <c r="AR284" s="398"/>
      <c r="AW284" s="398"/>
    </row>
    <row r="285" spans="4:49" s="158" customFormat="1">
      <c r="D285" s="398"/>
      <c r="I285" s="398"/>
      <c r="N285" s="398"/>
      <c r="S285" s="398"/>
      <c r="AH285" s="398"/>
      <c r="AM285" s="398"/>
      <c r="AR285" s="398"/>
      <c r="AW285" s="398"/>
    </row>
    <row r="286" spans="4:49" s="158" customFormat="1">
      <c r="D286" s="398"/>
      <c r="I286" s="398"/>
      <c r="N286" s="398"/>
      <c r="S286" s="398"/>
      <c r="AH286" s="398"/>
      <c r="AM286" s="398"/>
      <c r="AR286" s="398"/>
      <c r="AW286" s="398"/>
    </row>
    <row r="287" spans="4:49" s="158" customFormat="1">
      <c r="D287" s="398"/>
      <c r="I287" s="398"/>
      <c r="N287" s="398"/>
      <c r="S287" s="398"/>
      <c r="AH287" s="398"/>
      <c r="AM287" s="398"/>
      <c r="AR287" s="398"/>
      <c r="AW287" s="398"/>
    </row>
    <row r="288" spans="4:49" s="158" customFormat="1">
      <c r="D288" s="398"/>
      <c r="I288" s="398"/>
      <c r="N288" s="398"/>
      <c r="S288" s="398"/>
      <c r="AH288" s="398"/>
      <c r="AM288" s="398"/>
      <c r="AR288" s="398"/>
      <c r="AW288" s="398"/>
    </row>
    <row r="289" spans="4:49" s="158" customFormat="1">
      <c r="D289" s="398"/>
      <c r="I289" s="398"/>
      <c r="N289" s="398"/>
      <c r="S289" s="398"/>
      <c r="AH289" s="398"/>
      <c r="AM289" s="398"/>
      <c r="AR289" s="398"/>
      <c r="AW289" s="398"/>
    </row>
    <row r="290" spans="4:49" s="158" customFormat="1">
      <c r="D290" s="398"/>
      <c r="I290" s="398"/>
      <c r="N290" s="398"/>
      <c r="S290" s="398"/>
      <c r="AH290" s="398"/>
      <c r="AM290" s="398"/>
      <c r="AR290" s="398"/>
      <c r="AW290" s="398"/>
    </row>
    <row r="291" spans="4:49" s="158" customFormat="1">
      <c r="D291" s="398"/>
      <c r="I291" s="398"/>
      <c r="N291" s="398"/>
      <c r="S291" s="398"/>
      <c r="AH291" s="398"/>
      <c r="AM291" s="398"/>
      <c r="AR291" s="398"/>
      <c r="AW291" s="398"/>
    </row>
    <row r="292" spans="4:49" s="158" customFormat="1">
      <c r="D292" s="398"/>
      <c r="I292" s="398"/>
      <c r="N292" s="398"/>
      <c r="S292" s="398"/>
      <c r="AH292" s="398"/>
      <c r="AM292" s="398"/>
      <c r="AR292" s="398"/>
      <c r="AW292" s="398"/>
    </row>
    <row r="293" spans="4:49" s="158" customFormat="1">
      <c r="D293" s="398"/>
      <c r="I293" s="398"/>
      <c r="N293" s="398"/>
      <c r="S293" s="398"/>
      <c r="AH293" s="398"/>
      <c r="AM293" s="398"/>
      <c r="AR293" s="398"/>
      <c r="AW293" s="398"/>
    </row>
    <row r="294" spans="4:49" s="158" customFormat="1">
      <c r="D294" s="398"/>
      <c r="I294" s="398"/>
      <c r="N294" s="398"/>
      <c r="S294" s="398"/>
      <c r="AH294" s="398"/>
      <c r="AM294" s="398"/>
      <c r="AR294" s="398"/>
      <c r="AW294" s="398"/>
    </row>
    <row r="295" spans="4:49" s="158" customFormat="1">
      <c r="D295" s="398"/>
      <c r="I295" s="398"/>
      <c r="N295" s="398"/>
      <c r="S295" s="398"/>
      <c r="AH295" s="398"/>
      <c r="AM295" s="398"/>
      <c r="AR295" s="398"/>
      <c r="AW295" s="398"/>
    </row>
    <row r="296" spans="4:49" s="158" customFormat="1">
      <c r="D296" s="398"/>
      <c r="I296" s="398"/>
      <c r="N296" s="398"/>
      <c r="S296" s="398"/>
      <c r="AH296" s="398"/>
      <c r="AM296" s="398"/>
      <c r="AR296" s="398"/>
      <c r="AW296" s="398"/>
    </row>
    <row r="297" spans="4:49" s="158" customFormat="1">
      <c r="D297" s="398"/>
      <c r="I297" s="398"/>
      <c r="N297" s="398"/>
      <c r="S297" s="398"/>
      <c r="AH297" s="398"/>
      <c r="AM297" s="398"/>
      <c r="AR297" s="398"/>
      <c r="AW297" s="398"/>
    </row>
    <row r="298" spans="4:49" s="158" customFormat="1">
      <c r="D298" s="398"/>
      <c r="I298" s="398"/>
      <c r="N298" s="398"/>
      <c r="S298" s="398"/>
      <c r="AH298" s="398"/>
      <c r="AM298" s="398"/>
      <c r="AR298" s="398"/>
      <c r="AW298" s="398"/>
    </row>
    <row r="299" spans="4:49" s="158" customFormat="1">
      <c r="D299" s="398"/>
      <c r="I299" s="398"/>
      <c r="N299" s="398"/>
      <c r="S299" s="398"/>
      <c r="AH299" s="398"/>
      <c r="AM299" s="398"/>
      <c r="AR299" s="398"/>
      <c r="AW299" s="398"/>
    </row>
    <row r="300" spans="4:49" s="158" customFormat="1">
      <c r="D300" s="398"/>
      <c r="I300" s="398"/>
      <c r="N300" s="398"/>
      <c r="S300" s="398"/>
      <c r="AH300" s="398"/>
      <c r="AM300" s="398"/>
      <c r="AR300" s="398"/>
      <c r="AW300" s="398"/>
    </row>
    <row r="301" spans="4:49" s="158" customFormat="1">
      <c r="D301" s="398"/>
      <c r="I301" s="398"/>
      <c r="N301" s="398"/>
      <c r="S301" s="398"/>
      <c r="AH301" s="398"/>
      <c r="AM301" s="398"/>
      <c r="AR301" s="398"/>
      <c r="AW301" s="398"/>
    </row>
    <row r="302" spans="4:49" s="158" customFormat="1">
      <c r="D302" s="398"/>
      <c r="I302" s="398"/>
      <c r="N302" s="398"/>
      <c r="S302" s="398"/>
      <c r="AH302" s="398"/>
      <c r="AM302" s="398"/>
      <c r="AR302" s="398"/>
      <c r="AW302" s="398"/>
    </row>
    <row r="303" spans="4:49" s="158" customFormat="1">
      <c r="D303" s="398"/>
      <c r="I303" s="398"/>
      <c r="N303" s="398"/>
      <c r="S303" s="398"/>
      <c r="AH303" s="398"/>
      <c r="AM303" s="398"/>
      <c r="AR303" s="398"/>
      <c r="AW303" s="398"/>
    </row>
    <row r="304" spans="4:49" s="158" customFormat="1">
      <c r="D304" s="398"/>
      <c r="I304" s="398"/>
      <c r="N304" s="398"/>
      <c r="S304" s="398"/>
      <c r="AH304" s="398"/>
      <c r="AM304" s="398"/>
      <c r="AR304" s="398"/>
      <c r="AW304" s="398"/>
    </row>
    <row r="305" spans="4:49" s="158" customFormat="1">
      <c r="D305" s="398"/>
      <c r="I305" s="398"/>
      <c r="N305" s="398"/>
      <c r="S305" s="398"/>
      <c r="AH305" s="398"/>
      <c r="AM305" s="398"/>
      <c r="AR305" s="398"/>
      <c r="AW305" s="398"/>
    </row>
    <row r="306" spans="4:49" s="158" customFormat="1">
      <c r="D306" s="398"/>
      <c r="I306" s="398"/>
      <c r="N306" s="398"/>
      <c r="S306" s="398"/>
      <c r="AH306" s="398"/>
      <c r="AM306" s="398"/>
      <c r="AR306" s="398"/>
      <c r="AW306" s="398"/>
    </row>
    <row r="307" spans="4:49" s="158" customFormat="1">
      <c r="D307" s="398"/>
      <c r="I307" s="398"/>
      <c r="N307" s="398"/>
      <c r="S307" s="398"/>
      <c r="AH307" s="398"/>
      <c r="AM307" s="398"/>
      <c r="AR307" s="398"/>
      <c r="AW307" s="398"/>
    </row>
    <row r="308" spans="4:49" s="158" customFormat="1">
      <c r="D308" s="398"/>
      <c r="I308" s="398"/>
      <c r="N308" s="398"/>
      <c r="S308" s="398"/>
      <c r="AH308" s="398"/>
      <c r="AM308" s="398"/>
      <c r="AR308" s="398"/>
      <c r="AW308" s="398"/>
    </row>
    <row r="309" spans="4:49" s="158" customFormat="1">
      <c r="D309" s="398"/>
      <c r="I309" s="398"/>
      <c r="N309" s="398"/>
      <c r="S309" s="398"/>
      <c r="AH309" s="398"/>
      <c r="AM309" s="398"/>
      <c r="AR309" s="398"/>
      <c r="AW309" s="398"/>
    </row>
    <row r="310" spans="4:49" s="158" customFormat="1">
      <c r="D310" s="398"/>
      <c r="I310" s="398"/>
      <c r="N310" s="398"/>
      <c r="S310" s="398"/>
      <c r="AH310" s="398"/>
      <c r="AM310" s="398"/>
      <c r="AR310" s="398"/>
      <c r="AW310" s="398"/>
    </row>
    <row r="311" spans="4:49" s="158" customFormat="1">
      <c r="D311" s="398"/>
      <c r="I311" s="398"/>
      <c r="N311" s="398"/>
      <c r="S311" s="398"/>
      <c r="AH311" s="398"/>
      <c r="AM311" s="398"/>
      <c r="AR311" s="398"/>
      <c r="AW311" s="398"/>
    </row>
    <row r="312" spans="4:49" s="158" customFormat="1">
      <c r="D312" s="398"/>
      <c r="I312" s="398"/>
      <c r="N312" s="398"/>
      <c r="S312" s="398"/>
      <c r="AH312" s="398"/>
      <c r="AM312" s="398"/>
      <c r="AR312" s="398"/>
      <c r="AW312" s="398"/>
    </row>
    <row r="313" spans="4:49" s="158" customFormat="1">
      <c r="D313" s="398"/>
      <c r="I313" s="398"/>
      <c r="N313" s="398"/>
      <c r="S313" s="398"/>
      <c r="AH313" s="398"/>
      <c r="AM313" s="398"/>
      <c r="AR313" s="398"/>
      <c r="AW313" s="398"/>
    </row>
    <row r="314" spans="4:49" s="158" customFormat="1">
      <c r="D314" s="398"/>
      <c r="I314" s="398"/>
      <c r="N314" s="398"/>
      <c r="S314" s="398"/>
      <c r="AH314" s="398"/>
      <c r="AM314" s="398"/>
      <c r="AR314" s="398"/>
      <c r="AW314" s="398"/>
    </row>
    <row r="315" spans="4:49" s="158" customFormat="1">
      <c r="D315" s="398"/>
      <c r="I315" s="398"/>
      <c r="N315" s="398"/>
      <c r="S315" s="398"/>
      <c r="AH315" s="398"/>
      <c r="AM315" s="398"/>
      <c r="AR315" s="398"/>
      <c r="AW315" s="398"/>
    </row>
    <row r="316" spans="4:49" s="158" customFormat="1">
      <c r="D316" s="398"/>
      <c r="I316" s="398"/>
      <c r="N316" s="398"/>
      <c r="S316" s="398"/>
      <c r="AH316" s="398"/>
      <c r="AM316" s="398"/>
      <c r="AR316" s="398"/>
      <c r="AW316" s="398"/>
    </row>
    <row r="317" spans="4:49" s="158" customFormat="1">
      <c r="D317" s="398"/>
      <c r="I317" s="398"/>
      <c r="N317" s="398"/>
      <c r="S317" s="398"/>
      <c r="AH317" s="398"/>
      <c r="AM317" s="398"/>
      <c r="AR317" s="398"/>
      <c r="AW317" s="398"/>
    </row>
    <row r="318" spans="4:49" s="158" customFormat="1">
      <c r="D318" s="398"/>
      <c r="I318" s="398"/>
      <c r="N318" s="398"/>
      <c r="S318" s="398"/>
      <c r="AH318" s="398"/>
      <c r="AM318" s="398"/>
      <c r="AR318" s="398"/>
      <c r="AW318" s="398"/>
    </row>
    <row r="319" spans="4:49" s="158" customFormat="1">
      <c r="D319" s="398"/>
      <c r="I319" s="398"/>
      <c r="N319" s="398"/>
      <c r="S319" s="398"/>
      <c r="AH319" s="398"/>
      <c r="AM319" s="398"/>
      <c r="AR319" s="398"/>
      <c r="AW319" s="398"/>
    </row>
    <row r="320" spans="4:49" s="158" customFormat="1">
      <c r="D320" s="398"/>
      <c r="I320" s="398"/>
      <c r="N320" s="398"/>
      <c r="S320" s="398"/>
      <c r="AH320" s="398"/>
      <c r="AM320" s="398"/>
      <c r="AR320" s="398"/>
      <c r="AW320" s="398"/>
    </row>
    <row r="321" spans="4:49" s="158" customFormat="1">
      <c r="D321" s="398"/>
      <c r="I321" s="398"/>
      <c r="N321" s="398"/>
      <c r="S321" s="398"/>
      <c r="AH321" s="398"/>
      <c r="AM321" s="398"/>
      <c r="AR321" s="398"/>
      <c r="AW321" s="398"/>
    </row>
    <row r="322" spans="4:49" s="158" customFormat="1">
      <c r="D322" s="398"/>
      <c r="I322" s="398"/>
      <c r="N322" s="398"/>
      <c r="S322" s="398"/>
      <c r="AH322" s="398"/>
      <c r="AM322" s="398"/>
      <c r="AR322" s="398"/>
      <c r="AW322" s="398"/>
    </row>
    <row r="323" spans="4:49" s="158" customFormat="1">
      <c r="D323" s="398"/>
      <c r="I323" s="398"/>
      <c r="N323" s="398"/>
      <c r="S323" s="398"/>
      <c r="AH323" s="398"/>
      <c r="AM323" s="398"/>
      <c r="AR323" s="398"/>
      <c r="AW323" s="398"/>
    </row>
    <row r="324" spans="4:49" s="158" customFormat="1">
      <c r="D324" s="398"/>
      <c r="I324" s="398"/>
      <c r="N324" s="398"/>
      <c r="S324" s="398"/>
      <c r="AH324" s="398"/>
      <c r="AM324" s="398"/>
      <c r="AR324" s="398"/>
      <c r="AW324" s="398"/>
    </row>
    <row r="325" spans="4:49" s="158" customFormat="1">
      <c r="D325" s="398"/>
      <c r="I325" s="398"/>
      <c r="N325" s="398"/>
      <c r="S325" s="398"/>
      <c r="AH325" s="398"/>
      <c r="AM325" s="398"/>
      <c r="AR325" s="398"/>
      <c r="AW325" s="398"/>
    </row>
    <row r="326" spans="4:49" s="158" customFormat="1">
      <c r="D326" s="398"/>
      <c r="I326" s="398"/>
      <c r="N326" s="398"/>
      <c r="S326" s="398"/>
      <c r="AH326" s="398"/>
      <c r="AM326" s="398"/>
      <c r="AR326" s="398"/>
      <c r="AW326" s="398"/>
    </row>
    <row r="327" spans="4:49" s="158" customFormat="1">
      <c r="D327" s="398"/>
      <c r="I327" s="398"/>
      <c r="N327" s="398"/>
      <c r="S327" s="398"/>
      <c r="AH327" s="398"/>
      <c r="AM327" s="398"/>
      <c r="AR327" s="398"/>
      <c r="AW327" s="398"/>
    </row>
    <row r="328" spans="4:49" s="158" customFormat="1">
      <c r="D328" s="398"/>
      <c r="I328" s="398"/>
      <c r="N328" s="398"/>
      <c r="S328" s="398"/>
      <c r="AH328" s="398"/>
      <c r="AM328" s="398"/>
      <c r="AR328" s="398"/>
      <c r="AW328" s="398"/>
    </row>
    <row r="329" spans="4:49" s="158" customFormat="1">
      <c r="D329" s="398"/>
      <c r="I329" s="398"/>
      <c r="N329" s="398"/>
      <c r="S329" s="398"/>
      <c r="AH329" s="398"/>
      <c r="AM329" s="398"/>
      <c r="AR329" s="398"/>
      <c r="AW329" s="398"/>
    </row>
    <row r="330" spans="4:49" s="158" customFormat="1">
      <c r="D330" s="398"/>
      <c r="I330" s="398"/>
      <c r="N330" s="398"/>
      <c r="S330" s="398"/>
      <c r="AH330" s="398"/>
      <c r="AM330" s="398"/>
      <c r="AR330" s="398"/>
      <c r="AW330" s="398"/>
    </row>
    <row r="331" spans="4:49" s="158" customFormat="1">
      <c r="D331" s="398"/>
      <c r="I331" s="398"/>
      <c r="N331" s="398"/>
      <c r="S331" s="398"/>
      <c r="AH331" s="398"/>
      <c r="AM331" s="398"/>
      <c r="AR331" s="398"/>
      <c r="AW331" s="398"/>
    </row>
    <row r="332" spans="4:49" s="158" customFormat="1">
      <c r="D332" s="398"/>
      <c r="I332" s="398"/>
      <c r="N332" s="398"/>
      <c r="S332" s="398"/>
      <c r="AH332" s="398"/>
      <c r="AM332" s="398"/>
      <c r="AR332" s="398"/>
      <c r="AW332" s="398"/>
    </row>
    <row r="333" spans="4:49" s="158" customFormat="1">
      <c r="D333" s="398"/>
      <c r="I333" s="398"/>
      <c r="N333" s="398"/>
      <c r="S333" s="398"/>
      <c r="AH333" s="398"/>
      <c r="AM333" s="398"/>
      <c r="AR333" s="398"/>
      <c r="AW333" s="398"/>
    </row>
    <row r="334" spans="4:49" s="158" customFormat="1">
      <c r="D334" s="398"/>
      <c r="I334" s="398"/>
      <c r="N334" s="398"/>
      <c r="S334" s="398"/>
      <c r="AH334" s="398"/>
      <c r="AM334" s="398"/>
      <c r="AR334" s="398"/>
      <c r="AW334" s="398"/>
    </row>
    <row r="335" spans="4:49" s="158" customFormat="1">
      <c r="D335" s="398"/>
      <c r="I335" s="398"/>
      <c r="N335" s="398"/>
      <c r="S335" s="398"/>
      <c r="AH335" s="398"/>
      <c r="AM335" s="398"/>
      <c r="AR335" s="398"/>
      <c r="AW335" s="398"/>
    </row>
    <row r="336" spans="4:49" s="158" customFormat="1">
      <c r="D336" s="398"/>
      <c r="I336" s="398"/>
      <c r="N336" s="398"/>
      <c r="S336" s="398"/>
      <c r="AH336" s="398"/>
      <c r="AM336" s="398"/>
      <c r="AR336" s="398"/>
      <c r="AW336" s="398"/>
    </row>
    <row r="337" spans="4:49" s="158" customFormat="1">
      <c r="D337" s="398"/>
      <c r="I337" s="398"/>
      <c r="N337" s="398"/>
      <c r="S337" s="398"/>
      <c r="AH337" s="398"/>
      <c r="AM337" s="398"/>
      <c r="AR337" s="398"/>
      <c r="AW337" s="398"/>
    </row>
    <row r="338" spans="4:49" s="158" customFormat="1">
      <c r="D338" s="398"/>
      <c r="I338" s="398"/>
      <c r="N338" s="398"/>
      <c r="S338" s="398"/>
      <c r="AH338" s="398"/>
      <c r="AM338" s="398"/>
      <c r="AR338" s="398"/>
      <c r="AW338" s="398"/>
    </row>
    <row r="339" spans="4:49" s="158" customFormat="1">
      <c r="D339" s="398"/>
      <c r="I339" s="398"/>
      <c r="N339" s="398"/>
      <c r="S339" s="398"/>
      <c r="AH339" s="398"/>
      <c r="AM339" s="398"/>
      <c r="AR339" s="398"/>
      <c r="AW339" s="398"/>
    </row>
    <row r="340" spans="4:49" s="158" customFormat="1">
      <c r="D340" s="398"/>
      <c r="I340" s="398"/>
      <c r="N340" s="398"/>
      <c r="S340" s="398"/>
      <c r="AH340" s="398"/>
      <c r="AM340" s="398"/>
      <c r="AR340" s="398"/>
      <c r="AW340" s="398"/>
    </row>
    <row r="341" spans="4:49" s="158" customFormat="1">
      <c r="D341" s="398"/>
      <c r="I341" s="398"/>
      <c r="N341" s="398"/>
      <c r="S341" s="398"/>
      <c r="AH341" s="398"/>
      <c r="AM341" s="398"/>
      <c r="AR341" s="398"/>
      <c r="AW341" s="398"/>
    </row>
    <row r="342" spans="4:49" s="158" customFormat="1">
      <c r="D342" s="398"/>
      <c r="I342" s="398"/>
      <c r="N342" s="398"/>
      <c r="S342" s="398"/>
      <c r="AH342" s="398"/>
      <c r="AM342" s="398"/>
      <c r="AR342" s="398"/>
      <c r="AW342" s="398"/>
    </row>
    <row r="343" spans="4:49" s="158" customFormat="1">
      <c r="D343" s="398"/>
      <c r="I343" s="398"/>
      <c r="N343" s="398"/>
      <c r="S343" s="398"/>
      <c r="AH343" s="398"/>
      <c r="AM343" s="398"/>
      <c r="AR343" s="398"/>
      <c r="AW343" s="398"/>
    </row>
    <row r="344" spans="4:49" s="158" customFormat="1">
      <c r="D344" s="398"/>
      <c r="I344" s="398"/>
      <c r="N344" s="398"/>
      <c r="S344" s="398"/>
      <c r="AH344" s="398"/>
      <c r="AM344" s="398"/>
      <c r="AR344" s="398"/>
      <c r="AW344" s="398"/>
    </row>
    <row r="345" spans="4:49" s="158" customFormat="1">
      <c r="D345" s="398"/>
      <c r="I345" s="398"/>
      <c r="N345" s="398"/>
      <c r="S345" s="398"/>
      <c r="AH345" s="398"/>
      <c r="AM345" s="398"/>
      <c r="AR345" s="398"/>
      <c r="AW345" s="398"/>
    </row>
    <row r="346" spans="4:49" s="158" customFormat="1">
      <c r="D346" s="398"/>
      <c r="I346" s="398"/>
      <c r="N346" s="398"/>
      <c r="S346" s="398"/>
      <c r="AH346" s="398"/>
      <c r="AM346" s="398"/>
      <c r="AR346" s="398"/>
      <c r="AW346" s="398"/>
    </row>
    <row r="347" spans="4:49" s="158" customFormat="1">
      <c r="D347" s="398"/>
      <c r="I347" s="398"/>
      <c r="N347" s="398"/>
      <c r="S347" s="398"/>
      <c r="AH347" s="398"/>
      <c r="AM347" s="398"/>
      <c r="AR347" s="398"/>
      <c r="AW347" s="398"/>
    </row>
    <row r="348" spans="4:49" s="158" customFormat="1">
      <c r="D348" s="398"/>
      <c r="I348" s="398"/>
      <c r="N348" s="398"/>
      <c r="S348" s="398"/>
      <c r="AH348" s="398"/>
      <c r="AM348" s="398"/>
      <c r="AR348" s="398"/>
      <c r="AW348" s="398"/>
    </row>
    <row r="349" spans="4:49" s="158" customFormat="1">
      <c r="D349" s="398"/>
      <c r="I349" s="398"/>
      <c r="N349" s="398"/>
      <c r="S349" s="398"/>
      <c r="AH349" s="398"/>
      <c r="AM349" s="398"/>
      <c r="AR349" s="398"/>
      <c r="AW349" s="398"/>
    </row>
    <row r="350" spans="4:49" s="158" customFormat="1">
      <c r="D350" s="398"/>
      <c r="I350" s="398"/>
      <c r="N350" s="398"/>
      <c r="S350" s="398"/>
      <c r="AH350" s="398"/>
      <c r="AM350" s="398"/>
      <c r="AR350" s="398"/>
      <c r="AW350" s="398"/>
    </row>
    <row r="351" spans="4:49" s="158" customFormat="1">
      <c r="D351" s="398"/>
      <c r="I351" s="398"/>
      <c r="N351" s="398"/>
      <c r="S351" s="398"/>
      <c r="AH351" s="398"/>
      <c r="AM351" s="398"/>
      <c r="AR351" s="398"/>
      <c r="AW351" s="398"/>
    </row>
    <row r="352" spans="4:49" s="158" customFormat="1">
      <c r="D352" s="398"/>
      <c r="I352" s="398"/>
      <c r="N352" s="398"/>
      <c r="S352" s="398"/>
      <c r="AH352" s="398"/>
      <c r="AM352" s="398"/>
      <c r="AR352" s="398"/>
      <c r="AW352" s="398"/>
    </row>
    <row r="353" spans="4:49" s="158" customFormat="1">
      <c r="D353" s="398"/>
      <c r="I353" s="398"/>
      <c r="N353" s="398"/>
      <c r="S353" s="398"/>
      <c r="AH353" s="398"/>
      <c r="AM353" s="398"/>
      <c r="AR353" s="398"/>
      <c r="AW353" s="398"/>
    </row>
    <row r="354" spans="4:49" s="158" customFormat="1">
      <c r="D354" s="398"/>
      <c r="I354" s="398"/>
      <c r="N354" s="398"/>
      <c r="S354" s="398"/>
      <c r="AH354" s="398"/>
      <c r="AM354" s="398"/>
      <c r="AR354" s="398"/>
      <c r="AW354" s="398"/>
    </row>
    <row r="355" spans="4:49" s="158" customFormat="1">
      <c r="D355" s="398"/>
      <c r="I355" s="398"/>
      <c r="N355" s="398"/>
      <c r="S355" s="398"/>
      <c r="AH355" s="398"/>
      <c r="AM355" s="398"/>
      <c r="AR355" s="398"/>
      <c r="AW355" s="398"/>
    </row>
    <row r="356" spans="4:49" s="158" customFormat="1">
      <c r="D356" s="398"/>
      <c r="I356" s="398"/>
      <c r="N356" s="398"/>
      <c r="S356" s="398"/>
      <c r="AH356" s="398"/>
      <c r="AM356" s="398"/>
      <c r="AR356" s="398"/>
      <c r="AW356" s="398"/>
    </row>
    <row r="357" spans="4:49" s="158" customFormat="1">
      <c r="D357" s="398"/>
      <c r="I357" s="398"/>
      <c r="N357" s="398"/>
      <c r="S357" s="398"/>
      <c r="AH357" s="398"/>
      <c r="AM357" s="398"/>
      <c r="AR357" s="398"/>
      <c r="AW357" s="398"/>
    </row>
    <row r="358" spans="4:49" s="158" customFormat="1">
      <c r="D358" s="398"/>
      <c r="I358" s="398"/>
      <c r="N358" s="398"/>
      <c r="S358" s="398"/>
      <c r="AH358" s="398"/>
      <c r="AM358" s="398"/>
      <c r="AR358" s="398"/>
      <c r="AW358" s="398"/>
    </row>
    <row r="359" spans="4:49" s="158" customFormat="1">
      <c r="D359" s="398"/>
      <c r="I359" s="398"/>
      <c r="N359" s="398"/>
      <c r="S359" s="398"/>
      <c r="AH359" s="398"/>
      <c r="AM359" s="398"/>
      <c r="AR359" s="398"/>
      <c r="AW359" s="398"/>
    </row>
    <row r="360" spans="4:49" s="158" customFormat="1">
      <c r="D360" s="398"/>
      <c r="I360" s="398"/>
      <c r="N360" s="398"/>
      <c r="S360" s="398"/>
      <c r="AH360" s="398"/>
      <c r="AM360" s="398"/>
      <c r="AR360" s="398"/>
      <c r="AW360" s="398"/>
    </row>
    <row r="361" spans="4:49" s="158" customFormat="1">
      <c r="D361" s="398"/>
      <c r="I361" s="398"/>
      <c r="N361" s="398"/>
      <c r="S361" s="398"/>
      <c r="AH361" s="398"/>
      <c r="AM361" s="398"/>
      <c r="AR361" s="398"/>
      <c r="AW361" s="398"/>
    </row>
    <row r="362" spans="4:49" s="158" customFormat="1">
      <c r="D362" s="398"/>
      <c r="I362" s="398"/>
      <c r="N362" s="398"/>
      <c r="S362" s="398"/>
      <c r="AH362" s="398"/>
      <c r="AM362" s="398"/>
      <c r="AR362" s="398"/>
      <c r="AW362" s="398"/>
    </row>
    <row r="363" spans="4:49" s="158" customFormat="1">
      <c r="D363" s="398"/>
      <c r="I363" s="398"/>
      <c r="N363" s="398"/>
      <c r="S363" s="398"/>
      <c r="AH363" s="398"/>
      <c r="AM363" s="398"/>
      <c r="AR363" s="398"/>
      <c r="AW363" s="398"/>
    </row>
    <row r="364" spans="4:49" s="158" customFormat="1">
      <c r="D364" s="398"/>
      <c r="I364" s="398"/>
      <c r="N364" s="398"/>
      <c r="S364" s="398"/>
      <c r="AH364" s="398"/>
      <c r="AM364" s="398"/>
      <c r="AR364" s="398"/>
      <c r="AW364" s="398"/>
    </row>
    <row r="365" spans="4:49" s="158" customFormat="1">
      <c r="D365" s="398"/>
      <c r="I365" s="398"/>
      <c r="N365" s="398"/>
      <c r="S365" s="398"/>
      <c r="AH365" s="398"/>
      <c r="AM365" s="398"/>
      <c r="AR365" s="398"/>
      <c r="AW365" s="398"/>
    </row>
    <row r="366" spans="4:49" s="158" customFormat="1">
      <c r="D366" s="398"/>
      <c r="I366" s="398"/>
      <c r="N366" s="398"/>
      <c r="S366" s="398"/>
      <c r="AH366" s="398"/>
      <c r="AM366" s="398"/>
      <c r="AR366" s="398"/>
      <c r="AW366" s="398"/>
    </row>
    <row r="367" spans="4:49" s="158" customFormat="1">
      <c r="D367" s="398"/>
      <c r="I367" s="398"/>
      <c r="N367" s="398"/>
      <c r="S367" s="398"/>
      <c r="AH367" s="398"/>
      <c r="AM367" s="398"/>
      <c r="AR367" s="398"/>
      <c r="AW367" s="398"/>
    </row>
    <row r="368" spans="4:49" s="158" customFormat="1">
      <c r="D368" s="398"/>
      <c r="I368" s="398"/>
      <c r="N368" s="398"/>
      <c r="S368" s="398"/>
      <c r="AH368" s="398"/>
      <c r="AM368" s="398"/>
      <c r="AR368" s="398"/>
      <c r="AW368" s="398"/>
    </row>
    <row r="369" spans="4:49" s="158" customFormat="1">
      <c r="D369" s="398"/>
      <c r="I369" s="398"/>
      <c r="N369" s="398"/>
      <c r="S369" s="398"/>
      <c r="AH369" s="398"/>
      <c r="AM369" s="398"/>
      <c r="AR369" s="398"/>
      <c r="AW369" s="398"/>
    </row>
    <row r="370" spans="4:49" s="158" customFormat="1">
      <c r="D370" s="398"/>
      <c r="I370" s="398"/>
      <c r="N370" s="398"/>
      <c r="S370" s="398"/>
      <c r="AH370" s="398"/>
      <c r="AM370" s="398"/>
      <c r="AR370" s="398"/>
      <c r="AW370" s="398"/>
    </row>
    <row r="371" spans="4:49" s="158" customFormat="1">
      <c r="D371" s="398"/>
      <c r="I371" s="398"/>
      <c r="N371" s="398"/>
      <c r="S371" s="398"/>
      <c r="AH371" s="398"/>
      <c r="AM371" s="398"/>
      <c r="AR371" s="398"/>
      <c r="AW371" s="398"/>
    </row>
    <row r="372" spans="4:49" s="158" customFormat="1">
      <c r="D372" s="398"/>
      <c r="I372" s="398"/>
      <c r="N372" s="398"/>
      <c r="S372" s="398"/>
      <c r="AH372" s="398"/>
      <c r="AM372" s="398"/>
      <c r="AR372" s="398"/>
      <c r="AW372" s="398"/>
    </row>
    <row r="373" spans="4:49" s="158" customFormat="1">
      <c r="D373" s="398"/>
      <c r="I373" s="398"/>
      <c r="N373" s="398"/>
      <c r="S373" s="398"/>
      <c r="AH373" s="398"/>
      <c r="AM373" s="398"/>
      <c r="AR373" s="398"/>
      <c r="AW373" s="398"/>
    </row>
    <row r="374" spans="4:49" s="158" customFormat="1">
      <c r="D374" s="398"/>
      <c r="I374" s="398"/>
      <c r="N374" s="398"/>
      <c r="S374" s="398"/>
      <c r="AH374" s="398"/>
      <c r="AM374" s="398"/>
      <c r="AR374" s="398"/>
      <c r="AW374" s="398"/>
    </row>
    <row r="375" spans="4:49" s="158" customFormat="1">
      <c r="D375" s="398"/>
      <c r="I375" s="398"/>
      <c r="N375" s="398"/>
      <c r="S375" s="398"/>
      <c r="AH375" s="398"/>
      <c r="AM375" s="398"/>
      <c r="AR375" s="398"/>
      <c r="AW375" s="398"/>
    </row>
    <row r="376" spans="4:49" s="158" customFormat="1">
      <c r="D376" s="398"/>
      <c r="I376" s="398"/>
      <c r="N376" s="398"/>
      <c r="S376" s="398"/>
      <c r="AH376" s="398"/>
      <c r="AM376" s="398"/>
      <c r="AR376" s="398"/>
      <c r="AW376" s="398"/>
    </row>
    <row r="377" spans="4:49" s="158" customFormat="1">
      <c r="D377" s="398"/>
      <c r="I377" s="398"/>
      <c r="N377" s="398"/>
      <c r="S377" s="398"/>
      <c r="AH377" s="398"/>
      <c r="AM377" s="398"/>
      <c r="AR377" s="398"/>
      <c r="AW377" s="398"/>
    </row>
    <row r="378" spans="4:49" s="158" customFormat="1">
      <c r="D378" s="398"/>
      <c r="I378" s="398"/>
      <c r="N378" s="398"/>
      <c r="S378" s="398"/>
      <c r="AH378" s="398"/>
      <c r="AM378" s="398"/>
      <c r="AR378" s="398"/>
      <c r="AW378" s="398"/>
    </row>
    <row r="379" spans="4:49" s="158" customFormat="1">
      <c r="D379" s="398"/>
      <c r="I379" s="398"/>
      <c r="N379" s="398"/>
      <c r="S379" s="398"/>
      <c r="AH379" s="398"/>
      <c r="AM379" s="398"/>
      <c r="AR379" s="398"/>
      <c r="AW379" s="398"/>
    </row>
    <row r="380" spans="4:49" s="158" customFormat="1">
      <c r="D380" s="398"/>
      <c r="I380" s="398"/>
      <c r="N380" s="398"/>
      <c r="S380" s="398"/>
      <c r="AH380" s="398"/>
      <c r="AM380" s="398"/>
      <c r="AR380" s="398"/>
      <c r="AW380" s="398"/>
    </row>
    <row r="381" spans="4:49" s="158" customFormat="1">
      <c r="D381" s="398"/>
      <c r="I381" s="398"/>
      <c r="N381" s="398"/>
      <c r="S381" s="398"/>
      <c r="AH381" s="398"/>
      <c r="AM381" s="398"/>
      <c r="AR381" s="398"/>
      <c r="AW381" s="398"/>
    </row>
    <row r="382" spans="4:49" s="158" customFormat="1">
      <c r="D382" s="398"/>
      <c r="I382" s="398"/>
      <c r="N382" s="398"/>
      <c r="S382" s="398"/>
      <c r="AH382" s="398"/>
      <c r="AM382" s="398"/>
      <c r="AR382" s="398"/>
      <c r="AW382" s="398"/>
    </row>
    <row r="383" spans="4:49" s="158" customFormat="1">
      <c r="D383" s="398"/>
      <c r="I383" s="398"/>
      <c r="N383" s="398"/>
      <c r="S383" s="398"/>
      <c r="AH383" s="398"/>
      <c r="AM383" s="398"/>
      <c r="AR383" s="398"/>
      <c r="AW383" s="398"/>
    </row>
    <row r="384" spans="4:49" s="158" customFormat="1">
      <c r="D384" s="398"/>
      <c r="I384" s="398"/>
      <c r="N384" s="398"/>
      <c r="S384" s="398"/>
      <c r="AH384" s="398"/>
      <c r="AM384" s="398"/>
      <c r="AR384" s="398"/>
      <c r="AW384" s="398"/>
    </row>
    <row r="385" spans="4:49" s="158" customFormat="1">
      <c r="D385" s="398"/>
      <c r="I385" s="398"/>
      <c r="N385" s="398"/>
      <c r="S385" s="398"/>
      <c r="AH385" s="398"/>
      <c r="AM385" s="398"/>
      <c r="AR385" s="398"/>
      <c r="AW385" s="398"/>
    </row>
    <row r="386" spans="4:49" s="158" customFormat="1">
      <c r="D386" s="398"/>
      <c r="I386" s="398"/>
      <c r="N386" s="398"/>
      <c r="S386" s="398"/>
      <c r="AH386" s="398"/>
      <c r="AM386" s="398"/>
      <c r="AR386" s="398"/>
      <c r="AW386" s="398"/>
    </row>
    <row r="387" spans="4:49" s="158" customFormat="1">
      <c r="D387" s="398"/>
      <c r="I387" s="398"/>
      <c r="N387" s="398"/>
      <c r="S387" s="398"/>
      <c r="AH387" s="398"/>
      <c r="AM387" s="398"/>
      <c r="AR387" s="398"/>
      <c r="AW387" s="398"/>
    </row>
    <row r="388" spans="4:49" s="158" customFormat="1">
      <c r="D388" s="398"/>
      <c r="I388" s="398"/>
      <c r="N388" s="398"/>
      <c r="S388" s="398"/>
      <c r="AH388" s="398"/>
      <c r="AM388" s="398"/>
      <c r="AR388" s="398"/>
      <c r="AW388" s="398"/>
    </row>
    <row r="389" spans="4:49" s="158" customFormat="1">
      <c r="D389" s="398"/>
      <c r="I389" s="398"/>
      <c r="N389" s="398"/>
      <c r="S389" s="398"/>
      <c r="AH389" s="398"/>
      <c r="AM389" s="398"/>
      <c r="AR389" s="398"/>
      <c r="AW389" s="398"/>
    </row>
    <row r="390" spans="4:49" s="158" customFormat="1">
      <c r="D390" s="398"/>
      <c r="I390" s="398"/>
      <c r="N390" s="398"/>
      <c r="S390" s="398"/>
      <c r="AH390" s="398"/>
      <c r="AM390" s="398"/>
      <c r="AR390" s="398"/>
      <c r="AW390" s="398"/>
    </row>
    <row r="391" spans="4:49" s="158" customFormat="1">
      <c r="D391" s="398"/>
      <c r="I391" s="398"/>
      <c r="N391" s="398"/>
      <c r="S391" s="398"/>
      <c r="AH391" s="398"/>
      <c r="AM391" s="398"/>
      <c r="AR391" s="398"/>
      <c r="AW391" s="398"/>
    </row>
    <row r="392" spans="4:49" s="158" customFormat="1">
      <c r="D392" s="398"/>
      <c r="I392" s="398"/>
      <c r="N392" s="398"/>
      <c r="S392" s="398"/>
      <c r="AH392" s="398"/>
      <c r="AM392" s="398"/>
      <c r="AR392" s="398"/>
      <c r="AW392" s="398"/>
    </row>
    <row r="393" spans="4:49" s="158" customFormat="1">
      <c r="D393" s="398"/>
      <c r="I393" s="398"/>
      <c r="N393" s="398"/>
      <c r="S393" s="398"/>
      <c r="AH393" s="398"/>
      <c r="AM393" s="398"/>
      <c r="AR393" s="398"/>
      <c r="AW393" s="398"/>
    </row>
    <row r="394" spans="4:49" s="158" customFormat="1">
      <c r="D394" s="398"/>
      <c r="I394" s="398"/>
      <c r="N394" s="398"/>
      <c r="S394" s="398"/>
      <c r="AH394" s="398"/>
      <c r="AM394" s="398"/>
      <c r="AR394" s="398"/>
      <c r="AW394" s="398"/>
    </row>
    <row r="395" spans="4:49" s="158" customFormat="1">
      <c r="D395" s="398"/>
      <c r="I395" s="398"/>
      <c r="N395" s="398"/>
      <c r="S395" s="398"/>
      <c r="AH395" s="398"/>
      <c r="AM395" s="398"/>
      <c r="AR395" s="398"/>
      <c r="AW395" s="398"/>
    </row>
    <row r="396" spans="4:49" s="158" customFormat="1">
      <c r="D396" s="398"/>
      <c r="I396" s="398"/>
      <c r="N396" s="398"/>
      <c r="S396" s="398"/>
      <c r="AH396" s="398"/>
      <c r="AM396" s="398"/>
      <c r="AR396" s="398"/>
      <c r="AW396" s="398"/>
    </row>
    <row r="397" spans="4:49" s="158" customFormat="1">
      <c r="D397" s="398"/>
      <c r="I397" s="398"/>
      <c r="N397" s="398"/>
      <c r="S397" s="398"/>
      <c r="AH397" s="398"/>
      <c r="AM397" s="398"/>
      <c r="AR397" s="398"/>
      <c r="AW397" s="398"/>
    </row>
    <row r="398" spans="4:49" s="158" customFormat="1">
      <c r="D398" s="398"/>
      <c r="I398" s="398"/>
      <c r="N398" s="398"/>
      <c r="S398" s="398"/>
      <c r="AH398" s="398"/>
      <c r="AM398" s="398"/>
      <c r="AR398" s="398"/>
      <c r="AW398" s="398"/>
    </row>
    <row r="399" spans="4:49" s="158" customFormat="1">
      <c r="D399" s="398"/>
      <c r="I399" s="398"/>
      <c r="N399" s="398"/>
      <c r="S399" s="398"/>
      <c r="AH399" s="398"/>
      <c r="AM399" s="398"/>
      <c r="AR399" s="398"/>
      <c r="AW399" s="398"/>
    </row>
    <row r="400" spans="4:49" s="158" customFormat="1">
      <c r="D400" s="398"/>
      <c r="I400" s="398"/>
      <c r="N400" s="398"/>
      <c r="S400" s="398"/>
      <c r="AH400" s="398"/>
      <c r="AM400" s="398"/>
      <c r="AR400" s="398"/>
      <c r="AW400" s="398"/>
    </row>
    <row r="401" spans="4:49" s="158" customFormat="1">
      <c r="D401" s="398"/>
      <c r="I401" s="398"/>
      <c r="N401" s="398"/>
      <c r="S401" s="398"/>
      <c r="AH401" s="398"/>
      <c r="AM401" s="398"/>
      <c r="AR401" s="398"/>
      <c r="AW401" s="398"/>
    </row>
    <row r="402" spans="4:49" s="158" customFormat="1">
      <c r="D402" s="398"/>
      <c r="I402" s="398"/>
      <c r="N402" s="398"/>
      <c r="S402" s="398"/>
      <c r="AH402" s="398"/>
      <c r="AM402" s="398"/>
      <c r="AR402" s="398"/>
      <c r="AW402" s="398"/>
    </row>
    <row r="403" spans="4:49" s="158" customFormat="1">
      <c r="D403" s="398"/>
      <c r="I403" s="398"/>
      <c r="N403" s="398"/>
      <c r="S403" s="398"/>
      <c r="AH403" s="398"/>
      <c r="AM403" s="398"/>
      <c r="AR403" s="398"/>
      <c r="AW403" s="398"/>
    </row>
    <row r="404" spans="4:49" s="158" customFormat="1">
      <c r="D404" s="398"/>
      <c r="I404" s="398"/>
      <c r="N404" s="398"/>
      <c r="S404" s="398"/>
      <c r="AH404" s="398"/>
      <c r="AM404" s="398"/>
      <c r="AR404" s="398"/>
      <c r="AW404" s="398"/>
    </row>
    <row r="405" spans="4:49" s="158" customFormat="1">
      <c r="D405" s="398"/>
      <c r="I405" s="398"/>
      <c r="N405" s="398"/>
      <c r="S405" s="398"/>
      <c r="AH405" s="398"/>
      <c r="AM405" s="398"/>
      <c r="AR405" s="398"/>
      <c r="AW405" s="398"/>
    </row>
    <row r="406" spans="4:49" s="158" customFormat="1">
      <c r="D406" s="398"/>
      <c r="I406" s="398"/>
      <c r="N406" s="398"/>
      <c r="S406" s="398"/>
      <c r="AH406" s="398"/>
      <c r="AM406" s="398"/>
      <c r="AR406" s="398"/>
      <c r="AW406" s="398"/>
    </row>
    <row r="407" spans="4:49" s="158" customFormat="1">
      <c r="D407" s="398"/>
      <c r="I407" s="398"/>
      <c r="N407" s="398"/>
      <c r="S407" s="398"/>
      <c r="AH407" s="398"/>
      <c r="AM407" s="398"/>
      <c r="AR407" s="398"/>
      <c r="AW407" s="398"/>
    </row>
    <row r="408" spans="4:49" s="158" customFormat="1">
      <c r="D408" s="398"/>
      <c r="I408" s="398"/>
      <c r="N408" s="398"/>
      <c r="S408" s="398"/>
      <c r="AH408" s="398"/>
      <c r="AM408" s="398"/>
      <c r="AR408" s="398"/>
      <c r="AW408" s="398"/>
    </row>
    <row r="409" spans="4:49" s="158" customFormat="1">
      <c r="D409" s="398"/>
      <c r="I409" s="398"/>
      <c r="N409" s="398"/>
      <c r="S409" s="398"/>
      <c r="AH409" s="398"/>
      <c r="AM409" s="398"/>
      <c r="AR409" s="398"/>
      <c r="AW409" s="398"/>
    </row>
    <row r="410" spans="4:49" s="158" customFormat="1">
      <c r="D410" s="398"/>
      <c r="I410" s="398"/>
      <c r="N410" s="398"/>
      <c r="S410" s="398"/>
      <c r="AH410" s="398"/>
      <c r="AM410" s="398"/>
      <c r="AR410" s="398"/>
      <c r="AW410" s="398"/>
    </row>
    <row r="411" spans="4:49" s="158" customFormat="1">
      <c r="D411" s="398"/>
      <c r="I411" s="398"/>
      <c r="N411" s="398"/>
      <c r="S411" s="398"/>
      <c r="AH411" s="398"/>
      <c r="AM411" s="398"/>
      <c r="AR411" s="398"/>
      <c r="AW411" s="398"/>
    </row>
    <row r="412" spans="4:49" s="158" customFormat="1">
      <c r="D412" s="398"/>
      <c r="I412" s="398"/>
      <c r="N412" s="398"/>
      <c r="S412" s="398"/>
      <c r="AH412" s="398"/>
      <c r="AM412" s="398"/>
      <c r="AR412" s="398"/>
      <c r="AW412" s="398"/>
    </row>
    <row r="413" spans="4:49" s="158" customFormat="1">
      <c r="D413" s="398"/>
      <c r="I413" s="398"/>
      <c r="N413" s="398"/>
      <c r="S413" s="398"/>
      <c r="AH413" s="398"/>
      <c r="AM413" s="398"/>
      <c r="AR413" s="398"/>
      <c r="AW413" s="398"/>
    </row>
    <row r="414" spans="4:49" s="158" customFormat="1">
      <c r="D414" s="398"/>
      <c r="I414" s="398"/>
      <c r="N414" s="398"/>
      <c r="S414" s="398"/>
      <c r="AH414" s="398"/>
      <c r="AM414" s="398"/>
      <c r="AR414" s="398"/>
      <c r="AW414" s="398"/>
    </row>
    <row r="415" spans="4:49" s="158" customFormat="1">
      <c r="D415" s="398"/>
      <c r="I415" s="398"/>
      <c r="N415" s="398"/>
      <c r="S415" s="398"/>
      <c r="AH415" s="398"/>
      <c r="AM415" s="398"/>
      <c r="AR415" s="398"/>
      <c r="AW415" s="398"/>
    </row>
    <row r="416" spans="4:49" s="158" customFormat="1">
      <c r="D416" s="398"/>
      <c r="I416" s="398"/>
      <c r="N416" s="398"/>
      <c r="S416" s="398"/>
      <c r="AH416" s="398"/>
      <c r="AM416" s="398"/>
      <c r="AR416" s="398"/>
      <c r="AW416" s="398"/>
    </row>
    <row r="417" spans="4:49" s="158" customFormat="1">
      <c r="D417" s="398"/>
      <c r="I417" s="398"/>
      <c r="N417" s="398"/>
      <c r="S417" s="398"/>
      <c r="AH417" s="398"/>
      <c r="AM417" s="398"/>
      <c r="AR417" s="398"/>
      <c r="AW417" s="398"/>
    </row>
    <row r="418" spans="4:49" s="158" customFormat="1">
      <c r="D418" s="398"/>
      <c r="I418" s="398"/>
      <c r="N418" s="398"/>
      <c r="S418" s="398"/>
      <c r="AH418" s="398"/>
      <c r="AM418" s="398"/>
      <c r="AR418" s="398"/>
      <c r="AW418" s="398"/>
    </row>
    <row r="419" spans="4:49" s="158" customFormat="1">
      <c r="D419" s="398"/>
      <c r="I419" s="398"/>
      <c r="N419" s="398"/>
      <c r="S419" s="398"/>
      <c r="AH419" s="398"/>
      <c r="AM419" s="398"/>
      <c r="AR419" s="398"/>
      <c r="AW419" s="398"/>
    </row>
    <row r="420" spans="4:49" s="158" customFormat="1">
      <c r="D420" s="398"/>
      <c r="I420" s="398"/>
      <c r="N420" s="398"/>
      <c r="S420" s="398"/>
      <c r="AH420" s="398"/>
      <c r="AM420" s="398"/>
      <c r="AR420" s="398"/>
      <c r="AW420" s="398"/>
    </row>
    <row r="421" spans="4:49" s="158" customFormat="1">
      <c r="D421" s="398"/>
      <c r="I421" s="398"/>
      <c r="N421" s="398"/>
      <c r="S421" s="398"/>
      <c r="AH421" s="398"/>
      <c r="AM421" s="398"/>
      <c r="AR421" s="398"/>
      <c r="AW421" s="398"/>
    </row>
    <row r="422" spans="4:49" s="158" customFormat="1">
      <c r="D422" s="398"/>
      <c r="I422" s="398"/>
      <c r="N422" s="398"/>
      <c r="S422" s="398"/>
      <c r="AH422" s="398"/>
      <c r="AM422" s="398"/>
      <c r="AR422" s="398"/>
      <c r="AW422" s="398"/>
    </row>
    <row r="423" spans="4:49" s="158" customFormat="1">
      <c r="D423" s="398"/>
      <c r="I423" s="398"/>
      <c r="N423" s="398"/>
      <c r="S423" s="398"/>
      <c r="AH423" s="398"/>
      <c r="AM423" s="398"/>
      <c r="AR423" s="398"/>
      <c r="AW423" s="398"/>
    </row>
    <row r="424" spans="4:49" s="158" customFormat="1">
      <c r="D424" s="398"/>
      <c r="I424" s="398"/>
      <c r="N424" s="398"/>
      <c r="S424" s="398"/>
      <c r="AH424" s="398"/>
      <c r="AM424" s="398"/>
      <c r="AR424" s="398"/>
      <c r="AW424" s="398"/>
    </row>
    <row r="425" spans="4:49" s="158" customFormat="1">
      <c r="D425" s="398"/>
      <c r="I425" s="398"/>
      <c r="N425" s="398"/>
      <c r="S425" s="398"/>
      <c r="AH425" s="398"/>
      <c r="AM425" s="398"/>
      <c r="AR425" s="398"/>
      <c r="AW425" s="398"/>
    </row>
    <row r="426" spans="4:49" s="158" customFormat="1">
      <c r="D426" s="398"/>
      <c r="I426" s="398"/>
      <c r="N426" s="398"/>
      <c r="S426" s="398"/>
      <c r="AH426" s="398"/>
      <c r="AM426" s="398"/>
      <c r="AR426" s="398"/>
      <c r="AW426" s="398"/>
    </row>
    <row r="427" spans="4:49" s="158" customFormat="1">
      <c r="D427" s="398"/>
      <c r="I427" s="398"/>
      <c r="N427" s="398"/>
      <c r="S427" s="398"/>
      <c r="AH427" s="398"/>
      <c r="AM427" s="398"/>
      <c r="AR427" s="398"/>
      <c r="AW427" s="398"/>
    </row>
    <row r="428" spans="4:49" s="158" customFormat="1">
      <c r="D428" s="398"/>
      <c r="I428" s="398"/>
      <c r="N428" s="398"/>
      <c r="S428" s="398"/>
      <c r="AH428" s="398"/>
      <c r="AM428" s="398"/>
      <c r="AR428" s="398"/>
      <c r="AW428" s="398"/>
    </row>
  </sheetData>
  <sheetProtection sheet="1" selectLockedCells="1" selectUnlockedCells="1"/>
  <mergeCells count="20">
    <mergeCell ref="A6:D6"/>
    <mergeCell ref="F6:I6"/>
    <mergeCell ref="K6:N6"/>
    <mergeCell ref="A7:B7"/>
    <mergeCell ref="F7:G7"/>
    <mergeCell ref="K7:L7"/>
    <mergeCell ref="P6:S6"/>
    <mergeCell ref="P7:Q7"/>
    <mergeCell ref="U6:X6"/>
    <mergeCell ref="U7:V7"/>
    <mergeCell ref="Z6:AC6"/>
    <mergeCell ref="Z7:AA7"/>
    <mergeCell ref="AT6:AW6"/>
    <mergeCell ref="AT7:AU7"/>
    <mergeCell ref="AE6:AH6"/>
    <mergeCell ref="AE7:AF7"/>
    <mergeCell ref="AJ6:AM6"/>
    <mergeCell ref="AJ7:AK7"/>
    <mergeCell ref="AO6:AR6"/>
    <mergeCell ref="AO7:AP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6F812-DBAD-49D8-A433-F6286D31B9A2}">
  <sheetPr codeName="Sheet4"/>
  <dimension ref="A1:AY870"/>
  <sheetViews>
    <sheetView topLeftCell="A4" zoomScale="90" zoomScaleNormal="90" workbookViewId="0">
      <selection activeCell="F21" sqref="F21:I21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customWidth="1"/>
    <col min="21" max="22" width="11.42578125" style="1" customWidth="1"/>
    <col min="23" max="24" width="8.85546875" style="1" customWidth="1"/>
    <col min="25" max="25" width="11.28515625" style="1" customWidth="1"/>
    <col min="26" max="26" width="8.85546875" style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39" t="s">
        <v>166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San Diego Unit A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str">
        <f>'Pricelist Standard'!H9</f>
        <v>2 Storey</v>
      </c>
      <c r="F10" s="543"/>
      <c r="G10" s="543" t="str">
        <f>'Pricelist Standard'!E9</f>
        <v>End Lot</v>
      </c>
      <c r="H10" s="533"/>
      <c r="I10" s="534"/>
      <c r="J10" s="17"/>
      <c r="K10" s="535" t="s">
        <v>169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>
        <f>'Pricelist Standard'!I9</f>
        <v>142.4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>
        <f>'Pricelist Standard'!J9</f>
        <v>80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>
        <f>'Pricelist Standard'!S9</f>
        <v>8958200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143"/>
      <c r="F16" s="514">
        <v>0</v>
      </c>
      <c r="G16" s="514"/>
      <c r="H16" s="514"/>
      <c r="I16" s="515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144"/>
      <c r="F17" s="516">
        <f>F15-F16</f>
        <v>8958200</v>
      </c>
      <c r="G17" s="517"/>
      <c r="H17" s="517"/>
      <c r="I17" s="518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EDATE(U17,E30)</f>
        <v>#REF!</v>
      </c>
    </row>
    <row r="18" spans="1:48" ht="14.25">
      <c r="A18" s="18"/>
      <c r="B18" s="142" t="s">
        <v>180</v>
      </c>
      <c r="C18" s="45"/>
      <c r="D18" s="26"/>
      <c r="E18" s="145"/>
      <c r="F18" s="150">
        <f>F17/E11</f>
        <v>62908.707865168537</v>
      </c>
      <c r="G18" s="146"/>
      <c r="H18" s="146"/>
      <c r="I18" s="147"/>
      <c r="J18" s="19"/>
      <c r="K18" s="501" t="e">
        <f>IF(N18="","",T18)</f>
        <v>#REF!</v>
      </c>
      <c r="L18" s="501"/>
      <c r="M18" s="46" t="e">
        <f>IF(N18="","",U18)</f>
        <v>#REF!</v>
      </c>
      <c r="N18" s="502" t="e">
        <f>IF($E$30&gt;0,$F$30,"")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4.25">
      <c r="A19" s="18"/>
      <c r="B19" s="148"/>
      <c r="C19" s="20"/>
      <c r="D19" s="26"/>
      <c r="E19" s="19"/>
      <c r="F19" s="47"/>
      <c r="G19" s="49"/>
      <c r="H19" s="49"/>
      <c r="I19" s="49"/>
      <c r="J19" s="19"/>
      <c r="K19" s="501" t="e">
        <f t="shared" ref="K19:K29" si="1">IF(N19="","",T19)</f>
        <v>#REF!</v>
      </c>
      <c r="L19" s="501"/>
      <c r="M19" s="46" t="e">
        <f t="shared" ref="M19:M29" si="2">IF(N19="","",U19)</f>
        <v>#REF!</v>
      </c>
      <c r="N19" s="502" t="e">
        <f>IF($E$30&gt;1,$F$30,"")</f>
        <v>#REF!</v>
      </c>
      <c r="O19" s="503"/>
      <c r="P19" s="504"/>
      <c r="Q19" s="505"/>
      <c r="T19" s="140" t="s">
        <v>183</v>
      </c>
      <c r="U19" s="46">
        <f t="shared" ref="U19:U73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4.25">
      <c r="A20" s="30"/>
      <c r="B20" s="28" t="s">
        <v>185</v>
      </c>
      <c r="C20" s="28"/>
      <c r="D20" s="42" t="s">
        <v>73</v>
      </c>
      <c r="E20" s="149">
        <f>'Pricelist Standard'!AE7</f>
        <v>0</v>
      </c>
      <c r="F20" s="512">
        <f>F15*E20</f>
        <v>0</v>
      </c>
      <c r="G20" s="512"/>
      <c r="H20" s="512"/>
      <c r="I20" s="513"/>
      <c r="J20" s="19"/>
      <c r="K20" s="501" t="e">
        <f t="shared" si="1"/>
        <v>#REF!</v>
      </c>
      <c r="L20" s="501"/>
      <c r="M20" s="46" t="e">
        <f t="shared" si="2"/>
        <v>#REF!</v>
      </c>
      <c r="N20" s="502" t="e">
        <f>IF($E$30&gt;2,$F$30,"")</f>
        <v>#REF!</v>
      </c>
      <c r="O20" s="503"/>
      <c r="P20" s="504"/>
      <c r="Q20" s="505"/>
      <c r="T20" s="140" t="s">
        <v>186</v>
      </c>
      <c r="U20" s="46">
        <f t="shared" ca="1" si="3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152">
        <v>3.5000000000000003E-2</v>
      </c>
      <c r="F21" s="506">
        <f>E21*F15</f>
        <v>313537.00000000006</v>
      </c>
      <c r="G21" s="507"/>
      <c r="H21" s="507"/>
      <c r="I21" s="508"/>
      <c r="J21" s="19"/>
      <c r="K21" s="501" t="e">
        <f t="shared" si="1"/>
        <v>#REF!</v>
      </c>
      <c r="L21" s="501"/>
      <c r="M21" s="46" t="e">
        <f t="shared" si="2"/>
        <v>#REF!</v>
      </c>
      <c r="N21" s="502" t="e">
        <f>IF($E$30&gt;3,$F$30,"")</f>
        <v>#REF!</v>
      </c>
      <c r="O21" s="503"/>
      <c r="P21" s="504"/>
      <c r="Q21" s="505"/>
      <c r="T21" s="140" t="s">
        <v>189</v>
      </c>
      <c r="U21" s="46">
        <f t="shared" ca="1" si="3"/>
        <v>45981</v>
      </c>
      <c r="Y21" s="136"/>
      <c r="AV21" s="1"/>
    </row>
    <row r="22" spans="1:48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1" t="e">
        <f t="shared" si="1"/>
        <v>#REF!</v>
      </c>
      <c r="L22" s="501"/>
      <c r="M22" s="46" t="e">
        <f t="shared" si="2"/>
        <v>#REF!</v>
      </c>
      <c r="N22" s="502" t="e">
        <f>IF($E$30&gt;4,$F$30,"")</f>
        <v>#REF!</v>
      </c>
      <c r="O22" s="503"/>
      <c r="P22" s="504"/>
      <c r="Q22" s="505"/>
      <c r="T22" s="140" t="s">
        <v>190</v>
      </c>
      <c r="U22" s="46">
        <f t="shared" ca="1" si="3"/>
        <v>46011</v>
      </c>
      <c r="AV22" s="1"/>
    </row>
    <row r="23" spans="1:48">
      <c r="A23" s="18"/>
      <c r="B23" s="44" t="s">
        <v>17</v>
      </c>
      <c r="C23" s="45"/>
      <c r="D23" s="17" t="s">
        <v>73</v>
      </c>
      <c r="E23" s="51"/>
      <c r="F23" s="476">
        <f>F17+F20+F21</f>
        <v>9271737</v>
      </c>
      <c r="G23" s="477"/>
      <c r="H23" s="477"/>
      <c r="I23" s="478"/>
      <c r="J23" s="19"/>
      <c r="K23" s="501" t="e">
        <f t="shared" si="1"/>
        <v>#REF!</v>
      </c>
      <c r="L23" s="501"/>
      <c r="M23" s="46" t="e">
        <f t="shared" si="2"/>
        <v>#REF!</v>
      </c>
      <c r="N23" s="502" t="e">
        <f>IF($E$30&gt;5,$F$30,"")</f>
        <v>#REF!</v>
      </c>
      <c r="O23" s="503"/>
      <c r="P23" s="504"/>
      <c r="Q23" s="505"/>
      <c r="T23" s="140" t="s">
        <v>191</v>
      </c>
      <c r="U23" s="46">
        <f t="shared" ca="1" si="3"/>
        <v>46042</v>
      </c>
      <c r="AV23" s="1"/>
    </row>
    <row r="24" spans="1:48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1" t="e">
        <f t="shared" si="1"/>
        <v>#REF!</v>
      </c>
      <c r="L24" s="501"/>
      <c r="M24" s="46" t="e">
        <f t="shared" si="2"/>
        <v>#REF!</v>
      </c>
      <c r="N24" s="502" t="e">
        <f>IF($E$30&gt;6,$F$30,"")</f>
        <v>#REF!</v>
      </c>
      <c r="O24" s="503"/>
      <c r="P24" s="127"/>
      <c r="Q24" s="128"/>
      <c r="T24" s="140" t="s">
        <v>192</v>
      </c>
      <c r="U24" s="46">
        <f t="shared" ca="1" si="3"/>
        <v>46073</v>
      </c>
      <c r="AV24" s="1"/>
    </row>
    <row r="25" spans="1:48">
      <c r="A25" s="18"/>
      <c r="B25" s="24" t="s">
        <v>193</v>
      </c>
      <c r="C25" s="25"/>
      <c r="D25" s="40" t="s">
        <v>73</v>
      </c>
      <c r="E25" s="56">
        <f>'Pricelist Standard'!AG7</f>
        <v>0.05</v>
      </c>
      <c r="F25" s="476">
        <f>F23*E25</f>
        <v>463586.85000000003</v>
      </c>
      <c r="G25" s="477"/>
      <c r="H25" s="477"/>
      <c r="I25" s="478"/>
      <c r="J25" s="19"/>
      <c r="K25" s="501" t="e">
        <f t="shared" si="1"/>
        <v>#REF!</v>
      </c>
      <c r="L25" s="501"/>
      <c r="M25" s="46" t="e">
        <f t="shared" si="2"/>
        <v>#REF!</v>
      </c>
      <c r="N25" s="502" t="e">
        <f>IF($E$30&gt;7,$F$30,"")</f>
        <v>#REF!</v>
      </c>
      <c r="O25" s="503"/>
      <c r="P25" s="127"/>
      <c r="Q25" s="128"/>
      <c r="T25" s="140" t="s">
        <v>194</v>
      </c>
      <c r="U25" s="46">
        <f t="shared" ca="1" si="3"/>
        <v>46101</v>
      </c>
      <c r="AV25" s="1"/>
    </row>
    <row r="26" spans="1:48">
      <c r="A26" s="18"/>
      <c r="B26" s="498" t="s">
        <v>195</v>
      </c>
      <c r="C26" s="498"/>
      <c r="D26" s="42" t="str">
        <f>D25</f>
        <v>:</v>
      </c>
      <c r="E26" s="57"/>
      <c r="F26" s="58">
        <f>SUM([2]FORM!V25:V27)</f>
        <v>0</v>
      </c>
      <c r="G26" s="58"/>
      <c r="H26" s="499"/>
      <c r="I26" s="500"/>
      <c r="J26" s="19"/>
      <c r="K26" s="501" t="e">
        <f t="shared" si="1"/>
        <v>#REF!</v>
      </c>
      <c r="L26" s="501"/>
      <c r="M26" s="46" t="e">
        <f t="shared" si="2"/>
        <v>#REF!</v>
      </c>
      <c r="N26" s="502" t="e">
        <f>IF($E$30&gt;8,$F$30,"")</f>
        <v>#REF!</v>
      </c>
      <c r="O26" s="503"/>
      <c r="P26" s="127"/>
      <c r="Q26" s="128"/>
      <c r="T26" s="140" t="s">
        <v>196</v>
      </c>
      <c r="U26" s="46">
        <f t="shared" ca="1" si="3"/>
        <v>46132</v>
      </c>
      <c r="AV26" s="1"/>
    </row>
    <row r="27" spans="1:48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1" t="e">
        <f t="shared" si="1"/>
        <v>#REF!</v>
      </c>
      <c r="L27" s="501"/>
      <c r="M27" s="46" t="e">
        <f t="shared" si="2"/>
        <v>#REF!</v>
      </c>
      <c r="N27" s="502" t="e">
        <f>IF($E$30&gt;9,$F$30,"")</f>
        <v>#REF!</v>
      </c>
      <c r="O27" s="503"/>
      <c r="P27" s="127"/>
      <c r="Q27" s="128"/>
      <c r="T27" s="140" t="s">
        <v>198</v>
      </c>
      <c r="U27" s="46">
        <f t="shared" ca="1" si="3"/>
        <v>46162</v>
      </c>
      <c r="AV27" s="1"/>
    </row>
    <row r="28" spans="1:48">
      <c r="A28" s="18"/>
      <c r="B28" s="44" t="s">
        <v>199</v>
      </c>
      <c r="C28" s="45"/>
      <c r="D28" s="17" t="s">
        <v>73</v>
      </c>
      <c r="E28" s="59"/>
      <c r="F28" s="476">
        <f>F25-F26-F27</f>
        <v>413586.85000000003</v>
      </c>
      <c r="G28" s="477"/>
      <c r="H28" s="477"/>
      <c r="I28" s="478"/>
      <c r="J28" s="19"/>
      <c r="K28" s="501" t="e">
        <f t="shared" si="1"/>
        <v>#REF!</v>
      </c>
      <c r="L28" s="501"/>
      <c r="M28" s="46" t="e">
        <f t="shared" si="2"/>
        <v>#REF!</v>
      </c>
      <c r="N28" s="502" t="e">
        <f>IF($E$30&gt;10,$F$30,"")</f>
        <v>#REF!</v>
      </c>
      <c r="O28" s="503"/>
      <c r="P28" s="127"/>
      <c r="Q28" s="128"/>
      <c r="T28" s="140" t="s">
        <v>200</v>
      </c>
      <c r="U28" s="46">
        <f t="shared" ca="1" si="3"/>
        <v>46193</v>
      </c>
      <c r="AV28" s="1"/>
    </row>
    <row r="29" spans="1:48">
      <c r="A29" s="18"/>
      <c r="B29" s="35"/>
      <c r="C29" s="20"/>
      <c r="D29" s="26"/>
      <c r="E29" s="17"/>
      <c r="F29" s="47"/>
      <c r="G29" s="54"/>
      <c r="H29" s="54"/>
      <c r="I29" s="54"/>
      <c r="J29" s="19"/>
      <c r="K29" s="501" t="e">
        <f t="shared" si="1"/>
        <v>#REF!</v>
      </c>
      <c r="L29" s="501"/>
      <c r="M29" s="46" t="e">
        <f t="shared" si="2"/>
        <v>#REF!</v>
      </c>
      <c r="N29" s="490" t="e">
        <f>IF($E$30&gt;11,$F$30,"")</f>
        <v>#REF!</v>
      </c>
      <c r="O29" s="490"/>
      <c r="P29" s="127"/>
      <c r="Q29" s="128"/>
      <c r="T29" s="140" t="s">
        <v>201</v>
      </c>
      <c r="U29" s="46">
        <f t="shared" ca="1" si="3"/>
        <v>46223</v>
      </c>
      <c r="AV29" s="1"/>
    </row>
    <row r="30" spans="1:48">
      <c r="A30" s="64"/>
      <c r="B30" s="475" t="s">
        <v>202</v>
      </c>
      <c r="C30" s="475"/>
      <c r="D30" s="17" t="s">
        <v>73</v>
      </c>
      <c r="E30" s="141" t="e">
        <f>'Pricelist Standard'!#REF!</f>
        <v>#REF!</v>
      </c>
      <c r="F30" s="476" t="e">
        <f>F28/E30</f>
        <v>#REF!</v>
      </c>
      <c r="G30" s="477"/>
      <c r="H30" s="477"/>
      <c r="I30" s="478"/>
      <c r="J30" s="19"/>
      <c r="K30" s="492" t="s">
        <v>203</v>
      </c>
      <c r="L30" s="492"/>
      <c r="M30" s="46">
        <f ca="1">IF(N30&gt;1,U30,"")</f>
        <v>46254</v>
      </c>
      <c r="N30" s="493">
        <f>F34</f>
        <v>8808150.1500000004</v>
      </c>
      <c r="O30" s="493"/>
      <c r="P30" s="494"/>
      <c r="Q30" s="495"/>
      <c r="T30" s="123" t="s">
        <v>204</v>
      </c>
      <c r="U30" s="46">
        <f t="shared" ca="1" si="3"/>
        <v>46254</v>
      </c>
      <c r="AV30" s="1"/>
    </row>
    <row r="31" spans="1:48" hidden="1">
      <c r="A31" s="18"/>
      <c r="B31" s="20"/>
      <c r="C31" s="35"/>
      <c r="D31" s="26"/>
      <c r="E31" s="65"/>
      <c r="F31" s="47"/>
      <c r="G31" s="47"/>
      <c r="H31" s="47"/>
      <c r="I31" s="47"/>
      <c r="J31" s="19"/>
      <c r="K31" s="17"/>
      <c r="L31" s="17"/>
      <c r="M31" s="68"/>
      <c r="N31" s="121"/>
      <c r="O31" s="121"/>
      <c r="P31" s="122"/>
      <c r="Q31" s="122"/>
      <c r="T31" s="123"/>
      <c r="U31" s="46"/>
      <c r="AV31" s="1"/>
    </row>
    <row r="32" spans="1:48" hidden="1">
      <c r="A32" s="18"/>
      <c r="B32" s="475" t="s">
        <v>205</v>
      </c>
      <c r="C32" s="475"/>
      <c r="D32" s="17" t="s">
        <v>73</v>
      </c>
      <c r="E32" s="124">
        <v>0</v>
      </c>
      <c r="F32" s="476">
        <f>F23*E32</f>
        <v>0</v>
      </c>
      <c r="G32" s="477"/>
      <c r="H32" s="477"/>
      <c r="I32" s="478"/>
      <c r="J32" s="19"/>
      <c r="K32" s="17"/>
      <c r="L32" s="17"/>
      <c r="M32" s="68"/>
      <c r="N32" s="121" t="e">
        <f>SUM(N17:O31)</f>
        <v>#REF!</v>
      </c>
      <c r="O32" s="121"/>
      <c r="P32" s="122"/>
      <c r="Q32" s="122"/>
      <c r="T32" s="123"/>
      <c r="U32" s="46"/>
      <c r="AV32" s="1"/>
    </row>
    <row r="33" spans="1:48">
      <c r="A33" s="18"/>
      <c r="B33" s="20"/>
      <c r="C33" s="35"/>
      <c r="D33" s="26"/>
      <c r="E33" s="65"/>
      <c r="F33" s="47"/>
      <c r="G33" s="47"/>
      <c r="H33" s="47"/>
      <c r="I33" s="47"/>
      <c r="J33" s="19"/>
      <c r="K33" s="496"/>
      <c r="L33" s="496"/>
      <c r="M33" s="68"/>
      <c r="N33" s="497"/>
      <c r="O33" s="497"/>
      <c r="P33" s="69"/>
      <c r="Q33" s="19"/>
      <c r="T33" s="123" t="s">
        <v>206</v>
      </c>
      <c r="U33" s="46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AV33" s="1"/>
    </row>
    <row r="34" spans="1:48">
      <c r="A34" s="18"/>
      <c r="B34" s="44" t="s">
        <v>207</v>
      </c>
      <c r="C34" s="44"/>
      <c r="D34" s="17" t="s">
        <v>73</v>
      </c>
      <c r="E34" s="67">
        <f>100%-E25-E32</f>
        <v>0.95</v>
      </c>
      <c r="F34" s="476">
        <f>F23*E34</f>
        <v>8808150.1500000004</v>
      </c>
      <c r="G34" s="477"/>
      <c r="H34" s="477"/>
      <c r="I34" s="478"/>
      <c r="J34" s="19"/>
      <c r="T34" s="123" t="s">
        <v>208</v>
      </c>
      <c r="U34" s="46">
        <f t="shared" ca="1" si="3"/>
        <v>46315</v>
      </c>
      <c r="AV34" s="1"/>
    </row>
    <row r="35" spans="1:48">
      <c r="A35" s="18"/>
      <c r="B35" s="20"/>
      <c r="C35" s="35"/>
      <c r="D35" s="65"/>
      <c r="E35" s="65"/>
      <c r="F35" s="65"/>
      <c r="G35" s="70"/>
      <c r="H35" s="70"/>
      <c r="I35" s="70"/>
      <c r="J35" s="17"/>
      <c r="T35" s="123" t="s">
        <v>209</v>
      </c>
      <c r="U35" s="46">
        <f t="shared" ca="1" si="3"/>
        <v>46346</v>
      </c>
      <c r="AV35" s="1"/>
    </row>
    <row r="36" spans="1:48">
      <c r="A36" s="18"/>
      <c r="B36" s="45" t="s">
        <v>210</v>
      </c>
      <c r="C36" s="44"/>
      <c r="D36" s="71"/>
      <c r="E36" s="72"/>
      <c r="F36" s="73"/>
      <c r="G36" s="70"/>
      <c r="H36" s="70"/>
      <c r="I36" s="70"/>
      <c r="J36" s="17"/>
      <c r="T36" s="123" t="s">
        <v>211</v>
      </c>
      <c r="U36" s="46">
        <f t="shared" ca="1" si="3"/>
        <v>46376</v>
      </c>
      <c r="AV36" s="1"/>
    </row>
    <row r="37" spans="1:48">
      <c r="A37" s="18"/>
      <c r="B37" s="18"/>
      <c r="C37" s="74"/>
      <c r="D37" s="74"/>
      <c r="E37" s="75"/>
      <c r="F37" s="71"/>
      <c r="G37" s="71"/>
      <c r="H37" s="71"/>
      <c r="I37" s="71"/>
      <c r="J37" s="74"/>
      <c r="K37" s="74"/>
      <c r="L37" s="74"/>
      <c r="M37" s="74"/>
      <c r="N37" s="74"/>
      <c r="O37" s="74"/>
      <c r="P37" s="74"/>
      <c r="Q37" s="74"/>
      <c r="R37" s="74"/>
      <c r="T37" s="123" t="s">
        <v>212</v>
      </c>
      <c r="U37" s="46">
        <f t="shared" ca="1" si="3"/>
        <v>46407</v>
      </c>
      <c r="AV37" s="1"/>
    </row>
    <row r="38" spans="1:48">
      <c r="A38" s="18"/>
      <c r="B38" s="76" t="s">
        <v>213</v>
      </c>
      <c r="C38" s="76" t="s">
        <v>214</v>
      </c>
      <c r="D38" s="76" t="s">
        <v>215</v>
      </c>
      <c r="E38" s="76" t="s">
        <v>216</v>
      </c>
      <c r="F38" s="489" t="s">
        <v>217</v>
      </c>
      <c r="G38" s="489"/>
      <c r="H38" s="489"/>
      <c r="I38" s="489"/>
      <c r="J38" s="19"/>
      <c r="K38" s="19" t="s">
        <v>218</v>
      </c>
      <c r="L38" s="18"/>
      <c r="M38" s="18"/>
      <c r="N38" s="18"/>
      <c r="O38" s="19" t="s">
        <v>219</v>
      </c>
      <c r="P38" s="18"/>
      <c r="Q38" s="18"/>
      <c r="R38" s="18"/>
      <c r="T38" s="123" t="s">
        <v>220</v>
      </c>
      <c r="U38" s="46">
        <f t="shared" ca="1" si="3"/>
        <v>46438</v>
      </c>
      <c r="AV38" s="1"/>
    </row>
    <row r="39" spans="1:48">
      <c r="A39" s="18"/>
      <c r="B39" s="77">
        <v>5</v>
      </c>
      <c r="C39" s="78">
        <v>7.0000000000000007E-2</v>
      </c>
      <c r="D39" s="79">
        <f>PMT(C39/12,B39*12,-1)</f>
        <v>1.9801198540349535E-2</v>
      </c>
      <c r="E39" s="80">
        <f>F34*D39</f>
        <v>174411.92989335954</v>
      </c>
      <c r="F39" s="490">
        <f>E39/0.33</f>
        <v>528520.99967684702</v>
      </c>
      <c r="G39" s="490"/>
      <c r="H39" s="490"/>
      <c r="I39" s="490"/>
      <c r="J39" s="19"/>
      <c r="K39" s="18"/>
      <c r="L39" s="18"/>
      <c r="M39" s="26"/>
      <c r="N39" s="18"/>
      <c r="O39" s="18"/>
      <c r="P39" s="18"/>
      <c r="Q39" s="18"/>
      <c r="R39" s="18"/>
      <c r="T39" s="123" t="s">
        <v>221</v>
      </c>
      <c r="U39" s="46">
        <f t="shared" ca="1" si="3"/>
        <v>46466</v>
      </c>
      <c r="AV39" s="1"/>
    </row>
    <row r="40" spans="1:48">
      <c r="A40" s="18"/>
      <c r="B40" s="77">
        <v>10</v>
      </c>
      <c r="C40" s="78">
        <v>7.0000000000000007E-2</v>
      </c>
      <c r="D40" s="79">
        <f>PMT(C40/12,B40*12,-1)</f>
        <v>1.1610847921862406E-2</v>
      </c>
      <c r="E40" s="80">
        <f>F34*D40</f>
        <v>102270.09186457955</v>
      </c>
      <c r="F40" s="490">
        <f>E40/0.33</f>
        <v>309909.36928660469</v>
      </c>
      <c r="G40" s="490"/>
      <c r="H40" s="490"/>
      <c r="I40" s="490"/>
      <c r="J40" s="19"/>
      <c r="K40" s="18"/>
      <c r="L40" s="18"/>
      <c r="M40" s="26"/>
      <c r="N40" s="18"/>
      <c r="O40" s="18"/>
      <c r="P40" s="18"/>
      <c r="Q40" s="18"/>
      <c r="R40" s="18"/>
      <c r="T40" s="123" t="s">
        <v>222</v>
      </c>
      <c r="U40" s="46">
        <f t="shared" ca="1" si="3"/>
        <v>46497</v>
      </c>
      <c r="AV40" s="1"/>
    </row>
    <row r="41" spans="1:48">
      <c r="A41" s="18"/>
      <c r="B41" s="77">
        <v>15</v>
      </c>
      <c r="C41" s="78">
        <v>7.0000000000000007E-2</v>
      </c>
      <c r="D41" s="79">
        <f t="shared" ref="D41:D42" si="4">PMT(C41/12,B41*12,-1)</f>
        <v>8.988282708524269E-3</v>
      </c>
      <c r="E41" s="80">
        <f>F34*D41</f>
        <v>79170.143687330448</v>
      </c>
      <c r="F41" s="490">
        <f>E41/0.33</f>
        <v>239909.52632524376</v>
      </c>
      <c r="G41" s="490"/>
      <c r="H41" s="490"/>
      <c r="I41" s="490"/>
      <c r="J41" s="19"/>
      <c r="K41" s="491"/>
      <c r="L41" s="491"/>
      <c r="M41" s="491"/>
      <c r="N41" s="19"/>
      <c r="O41" s="125"/>
      <c r="P41" s="125"/>
      <c r="Q41" s="125"/>
      <c r="R41" s="126"/>
      <c r="T41" s="123" t="s">
        <v>223</v>
      </c>
      <c r="U41" s="46">
        <f t="shared" ca="1" si="3"/>
        <v>46527</v>
      </c>
      <c r="AV41" s="1"/>
    </row>
    <row r="42" spans="1:48">
      <c r="A42" s="18"/>
      <c r="B42" s="77">
        <v>20</v>
      </c>
      <c r="C42" s="78">
        <v>7.0000000000000007E-2</v>
      </c>
      <c r="D42" s="79">
        <f t="shared" si="4"/>
        <v>7.7529893561887461E-3</v>
      </c>
      <c r="E42" s="80">
        <f>F34*D42</f>
        <v>68289.494360662313</v>
      </c>
      <c r="F42" s="490">
        <f>E42/0.33</f>
        <v>206937.86169897669</v>
      </c>
      <c r="G42" s="490"/>
      <c r="H42" s="490"/>
      <c r="I42" s="490"/>
      <c r="J42" s="19"/>
      <c r="K42" s="86" t="s">
        <v>224</v>
      </c>
      <c r="L42" s="487"/>
      <c r="M42" s="487"/>
      <c r="N42" s="18"/>
      <c r="O42" s="488" t="s">
        <v>225</v>
      </c>
      <c r="P42" s="488"/>
      <c r="Q42" s="488"/>
      <c r="R42" s="126"/>
      <c r="T42" s="123"/>
      <c r="U42" s="46"/>
      <c r="AV42" s="1"/>
    </row>
    <row r="43" spans="1:48" ht="14.25">
      <c r="A43" s="18"/>
      <c r="B43" s="81" t="s">
        <v>226</v>
      </c>
      <c r="C43" s="82"/>
      <c r="D43" s="83"/>
      <c r="E43" s="129"/>
      <c r="F43" s="130"/>
      <c r="G43" s="130"/>
      <c r="H43" s="130"/>
      <c r="I43" s="130"/>
      <c r="J43" s="19"/>
      <c r="K43" s="89"/>
      <c r="L43" s="89"/>
      <c r="M43" s="89"/>
      <c r="N43" s="89"/>
      <c r="O43" s="89"/>
      <c r="P43" s="90"/>
      <c r="Q43" s="90"/>
      <c r="R43" s="126"/>
      <c r="T43" s="123"/>
      <c r="U43" s="46"/>
      <c r="AV43" s="1"/>
    </row>
    <row r="44" spans="1:48">
      <c r="A44" s="18"/>
      <c r="B44" s="81" t="s">
        <v>227</v>
      </c>
      <c r="C44" s="82"/>
      <c r="D44" s="83"/>
      <c r="E44" s="129"/>
      <c r="F44" s="130"/>
      <c r="G44" s="130"/>
      <c r="H44" s="130"/>
      <c r="I44" s="130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/>
      <c r="AV44" s="1"/>
    </row>
    <row r="45" spans="1:48">
      <c r="A45" s="18"/>
      <c r="B45" s="91" t="s">
        <v>228</v>
      </c>
      <c r="C45" s="82"/>
      <c r="D45" s="83"/>
      <c r="E45" s="129"/>
      <c r="F45" s="130"/>
      <c r="G45" s="130"/>
      <c r="H45" s="130"/>
      <c r="I45" s="130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/>
      <c r="AV45" s="1"/>
    </row>
    <row r="46" spans="1:48">
      <c r="A46" s="18"/>
      <c r="B46" s="91" t="s">
        <v>229</v>
      </c>
      <c r="C46" s="82"/>
      <c r="D46" s="83"/>
      <c r="E46" s="129"/>
      <c r="F46" s="130"/>
      <c r="G46" s="130"/>
      <c r="H46" s="130"/>
      <c r="I46" s="13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/>
      <c r="AV46" s="1"/>
    </row>
    <row r="47" spans="1:48">
      <c r="A47" s="18"/>
      <c r="B47" s="26"/>
      <c r="C47" s="82"/>
      <c r="D47" s="83"/>
      <c r="E47" s="129"/>
      <c r="F47" s="130"/>
      <c r="G47" s="130"/>
      <c r="H47" s="130"/>
      <c r="I47" s="13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/>
      <c r="AV47" s="1"/>
    </row>
    <row r="48" spans="1:48">
      <c r="A48" s="18"/>
      <c r="B48" s="19" t="s">
        <v>230</v>
      </c>
      <c r="C48" s="82"/>
      <c r="D48" s="83"/>
      <c r="E48" s="129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/>
      <c r="AV48" s="1"/>
    </row>
    <row r="49" spans="1:48">
      <c r="A49" s="18"/>
      <c r="B49" s="76" t="s">
        <v>213</v>
      </c>
      <c r="C49" s="76" t="s">
        <v>214</v>
      </c>
      <c r="D49" s="76" t="s">
        <v>215</v>
      </c>
      <c r="E49" s="76" t="s">
        <v>231</v>
      </c>
      <c r="F49" s="489" t="s">
        <v>217</v>
      </c>
      <c r="G49" s="489"/>
      <c r="H49" s="489"/>
      <c r="I49" s="489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/>
      <c r="AV49" s="1"/>
    </row>
    <row r="50" spans="1:48">
      <c r="A50" s="18"/>
      <c r="B50" s="78" t="s">
        <v>232</v>
      </c>
      <c r="C50" s="131">
        <v>0.16</v>
      </c>
      <c r="D50" s="79">
        <f>'Pricelist Standard'!AQ6</f>
        <v>2.4318057116359135E-2</v>
      </c>
      <c r="E50" s="80">
        <f>F34*D50</f>
        <v>214197.0984371673</v>
      </c>
      <c r="F50" s="490">
        <f>E50/0.33</f>
        <v>649082.11647626455</v>
      </c>
      <c r="G50" s="490"/>
      <c r="H50" s="490"/>
      <c r="I50" s="490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/>
      <c r="AV50" s="1"/>
    </row>
    <row r="51" spans="1:48">
      <c r="A51" s="18"/>
      <c r="B51" s="78" t="s">
        <v>233</v>
      </c>
      <c r="C51" s="131">
        <v>0.14000000000000001</v>
      </c>
      <c r="D51" s="79">
        <f>'Pricelist Standard'!AU6</f>
        <v>1.801851990409967E-2</v>
      </c>
      <c r="E51" s="80">
        <f>F34*D51</f>
        <v>158709.8287960735</v>
      </c>
      <c r="F51" s="490">
        <f>E51/0.33</f>
        <v>480938.87513961666</v>
      </c>
      <c r="G51" s="490"/>
      <c r="H51" s="490"/>
      <c r="I51" s="490"/>
      <c r="J51" s="19"/>
      <c r="K51" s="92"/>
      <c r="L51" s="18"/>
      <c r="M51" s="39"/>
      <c r="N51" s="18"/>
      <c r="O51" s="18"/>
      <c r="P51" s="18"/>
      <c r="Q51" s="18"/>
      <c r="R51" s="126"/>
      <c r="T51" s="123"/>
      <c r="U51" s="46"/>
      <c r="AV51" s="1"/>
    </row>
    <row r="52" spans="1:48">
      <c r="A52" s="18"/>
      <c r="B52" s="91" t="s">
        <v>228</v>
      </c>
      <c r="C52" s="82"/>
      <c r="D52" s="83"/>
      <c r="E52" s="129"/>
      <c r="F52" s="130"/>
      <c r="G52" s="130"/>
      <c r="H52" s="130"/>
      <c r="I52" s="130"/>
      <c r="J52" s="19"/>
      <c r="K52" s="92"/>
      <c r="L52" s="18"/>
      <c r="M52" s="39"/>
      <c r="N52" s="18"/>
      <c r="O52" s="18"/>
      <c r="P52" s="18"/>
      <c r="Q52" s="18"/>
      <c r="R52" s="18"/>
      <c r="T52" s="123" t="s">
        <v>234</v>
      </c>
      <c r="U52" s="46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AL52" s="87">
        <v>3128865.99</v>
      </c>
      <c r="AV52" s="1"/>
    </row>
    <row r="53" spans="1:48" ht="14.25">
      <c r="A53" s="18"/>
      <c r="C53" s="82"/>
      <c r="D53" s="83"/>
      <c r="E53" s="84"/>
      <c r="F53" s="486"/>
      <c r="G53" s="486"/>
      <c r="H53" s="85"/>
      <c r="I53" s="18"/>
      <c r="J53" s="19"/>
      <c r="K53" s="92"/>
      <c r="L53" s="18"/>
      <c r="M53" s="39"/>
      <c r="N53" s="18"/>
      <c r="O53" s="18"/>
      <c r="P53" s="18"/>
      <c r="Q53" s="18"/>
      <c r="R53" s="90"/>
      <c r="T53" s="123" t="s">
        <v>235</v>
      </c>
      <c r="U53" s="46">
        <f t="shared" ca="1" si="3"/>
        <v>46588</v>
      </c>
      <c r="AV53" s="1"/>
    </row>
    <row r="54" spans="1:48">
      <c r="A54" s="18"/>
      <c r="C54" s="88"/>
      <c r="D54" s="26"/>
      <c r="E54" s="18"/>
      <c r="F54" s="18"/>
      <c r="G54" s="18"/>
      <c r="H54" s="18"/>
      <c r="I54" s="18"/>
      <c r="J54" s="19"/>
      <c r="K54" s="92"/>
      <c r="L54" s="18"/>
      <c r="M54" s="39"/>
      <c r="N54" s="18"/>
      <c r="O54" s="18"/>
      <c r="P54" s="18"/>
      <c r="Q54" s="18"/>
      <c r="T54" s="123" t="s">
        <v>236</v>
      </c>
      <c r="U54" s="46">
        <f t="shared" ca="1" si="3"/>
        <v>46619</v>
      </c>
      <c r="AV54" s="1"/>
    </row>
    <row r="55" spans="1:48">
      <c r="A55" s="18"/>
      <c r="C55" s="18"/>
      <c r="D55" s="26"/>
      <c r="E55" s="18"/>
      <c r="F55" s="18"/>
      <c r="G55" s="18"/>
      <c r="H55" s="18"/>
      <c r="I55" s="18"/>
      <c r="J55" s="17"/>
      <c r="K55" s="92"/>
      <c r="L55" s="18"/>
      <c r="M55" s="39"/>
      <c r="N55" s="18"/>
      <c r="O55" s="18"/>
      <c r="P55" s="18"/>
      <c r="Q55" s="18"/>
      <c r="T55" s="123" t="s">
        <v>237</v>
      </c>
      <c r="U55" s="46">
        <f t="shared" ca="1" si="3"/>
        <v>46650</v>
      </c>
      <c r="AV55" s="1"/>
    </row>
    <row r="56" spans="1:48">
      <c r="A56" s="18"/>
      <c r="C56" s="88"/>
      <c r="D56" s="26"/>
      <c r="E56" s="18"/>
      <c r="F56" s="18"/>
      <c r="G56" s="18"/>
      <c r="H56" s="18"/>
      <c r="I56" s="18"/>
      <c r="J56" s="26"/>
      <c r="K56" s="92"/>
      <c r="L56" s="18"/>
      <c r="M56" s="39"/>
      <c r="N56" s="18"/>
      <c r="O56" s="18"/>
      <c r="P56" s="18"/>
      <c r="Q56" s="18"/>
      <c r="T56" s="123" t="s">
        <v>238</v>
      </c>
      <c r="U56" s="46">
        <f t="shared" ca="1" si="3"/>
        <v>46680</v>
      </c>
      <c r="AV56" s="1"/>
    </row>
    <row r="57" spans="1:48">
      <c r="A57" s="18"/>
      <c r="B57" s="93"/>
      <c r="C57" s="18"/>
      <c r="D57" s="18"/>
      <c r="E57" s="18"/>
      <c r="F57" s="18"/>
      <c r="G57" s="18"/>
      <c r="H57" s="18"/>
      <c r="I57" s="18"/>
      <c r="J57" s="26"/>
      <c r="K57" s="92"/>
      <c r="L57" s="18"/>
      <c r="M57" s="39"/>
      <c r="N57" s="18"/>
      <c r="O57" s="18"/>
      <c r="P57" s="18"/>
      <c r="Q57" s="18"/>
      <c r="T57" s="123" t="s">
        <v>239</v>
      </c>
      <c r="U57" s="137">
        <f t="shared" ca="1" si="3"/>
        <v>46711</v>
      </c>
      <c r="AV57" s="1"/>
    </row>
    <row r="58" spans="1:48">
      <c r="A58" s="18"/>
      <c r="J58" s="26"/>
      <c r="K58" s="19"/>
      <c r="L58" s="18"/>
      <c r="M58" s="18"/>
      <c r="N58" s="18"/>
      <c r="O58" s="19"/>
      <c r="P58" s="18"/>
      <c r="Q58" s="18"/>
      <c r="T58" s="123"/>
      <c r="U58" s="138"/>
      <c r="AH58" s="1"/>
      <c r="AU58" s="1"/>
      <c r="AV58" s="1"/>
    </row>
    <row r="59" spans="1:48">
      <c r="A59" s="18"/>
      <c r="J59" s="26"/>
      <c r="K59" s="18"/>
      <c r="L59" s="18"/>
      <c r="M59" s="26"/>
      <c r="N59" s="18"/>
      <c r="O59" s="18"/>
      <c r="P59" s="18"/>
      <c r="Q59" s="18"/>
      <c r="T59" s="123"/>
      <c r="U59" s="138"/>
      <c r="AH59" s="1"/>
      <c r="AU59" s="1"/>
      <c r="AV59" s="1"/>
    </row>
    <row r="60" spans="1:48" ht="15" customHeight="1">
      <c r="A60" s="18"/>
      <c r="J60" s="17"/>
      <c r="K60" s="18"/>
      <c r="L60" s="18"/>
      <c r="M60" s="26"/>
      <c r="N60" s="18"/>
      <c r="O60" s="18"/>
      <c r="P60" s="18"/>
      <c r="Q60" s="18"/>
      <c r="T60" s="132"/>
      <c r="U60" s="138"/>
      <c r="AH60" s="1"/>
      <c r="AU60" s="1"/>
      <c r="AV60" s="1"/>
    </row>
    <row r="61" spans="1:48">
      <c r="A61" s="18"/>
      <c r="J61" s="17"/>
      <c r="K61" s="484"/>
      <c r="L61" s="484"/>
      <c r="M61" s="484"/>
      <c r="N61" s="19"/>
      <c r="O61" s="484"/>
      <c r="P61" s="484"/>
      <c r="Q61" s="484"/>
      <c r="T61" s="132"/>
      <c r="U61" s="138"/>
      <c r="AH61" s="1"/>
      <c r="AU61" s="1"/>
      <c r="AV61" s="1"/>
    </row>
    <row r="62" spans="1:48" ht="15" customHeight="1">
      <c r="A62" s="18"/>
      <c r="J62" s="71"/>
      <c r="K62" s="18"/>
      <c r="L62" s="474"/>
      <c r="M62" s="474"/>
      <c r="N62" s="18"/>
      <c r="O62" s="485"/>
      <c r="P62" s="485"/>
      <c r="Q62" s="485"/>
      <c r="T62" s="123"/>
      <c r="U62" s="138"/>
      <c r="AH62" s="1"/>
      <c r="AU62" s="1"/>
      <c r="AV62" s="1"/>
    </row>
    <row r="63" spans="1:48">
      <c r="A63" s="18"/>
      <c r="J63" s="71"/>
      <c r="K63" s="92"/>
      <c r="L63" s="18"/>
      <c r="M63" s="84"/>
      <c r="N63" s="18"/>
      <c r="O63" s="18"/>
      <c r="P63" s="18"/>
      <c r="Q63" s="18"/>
      <c r="T63" s="123"/>
      <c r="U63" s="138"/>
      <c r="AH63" s="1"/>
      <c r="AU63" s="1"/>
      <c r="AV63" s="1"/>
    </row>
    <row r="64" spans="1:48" ht="15" customHeight="1">
      <c r="A64" s="18"/>
      <c r="J64" s="71"/>
      <c r="K64" s="92"/>
      <c r="L64" s="18"/>
      <c r="M64" s="84"/>
      <c r="N64" s="18"/>
      <c r="O64" s="18"/>
      <c r="P64" s="18"/>
      <c r="Q64" s="18"/>
      <c r="T64" s="123"/>
      <c r="U64" s="138"/>
      <c r="AH64" s="1"/>
      <c r="AU64" s="1"/>
      <c r="AV64" s="1"/>
    </row>
    <row r="65" spans="1:48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240</v>
      </c>
      <c r="U65" s="139">
        <f t="shared" si="3"/>
        <v>36</v>
      </c>
      <c r="AH65" s="1"/>
      <c r="AU65" s="1"/>
      <c r="AV65" s="1"/>
    </row>
    <row r="66" spans="1:48" ht="15" customHeight="1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241</v>
      </c>
      <c r="U66" s="46">
        <f>IF(AND(DAY(U65)&gt;=6,DAY(U65)&lt;=20),DATE(YEAR(U65),MONTH(U65)+1,DAY(20)),IF(AND(DAY(U65)&gt;=21,DAY(U65)&lt;=30),DATE(YEAR(U65),MONTH(U65)+1,IF(DAY(EOMONTH(U65,1))&lt;30,DAY(EOMONTH(U65,1)),DAY(30))),DATE(YEAR(U65),MONTH(U65)+1,DAY(5))))</f>
        <v>65</v>
      </c>
      <c r="AH66" s="1"/>
      <c r="AU66" s="1"/>
      <c r="AV66" s="1"/>
    </row>
    <row r="67" spans="1:48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242</v>
      </c>
      <c r="U67" s="46">
        <f t="shared" si="3"/>
        <v>96</v>
      </c>
      <c r="AH67" s="1"/>
      <c r="AU67" s="1"/>
      <c r="AV67" s="1"/>
    </row>
    <row r="68" spans="1:48" ht="15" customHeight="1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243</v>
      </c>
      <c r="U68" s="46">
        <f t="shared" si="3"/>
        <v>126</v>
      </c>
      <c r="AH68" s="1"/>
      <c r="AU68" s="1"/>
      <c r="AV68" s="1"/>
    </row>
    <row r="69" spans="1:48">
      <c r="A69" s="18"/>
      <c r="B69" s="482"/>
      <c r="C69" s="482"/>
      <c r="D69" s="482"/>
      <c r="E69" s="482"/>
      <c r="F69" s="482"/>
      <c r="G69" s="483"/>
      <c r="H69" s="483"/>
      <c r="I69" s="483"/>
      <c r="J69" s="18"/>
      <c r="K69" s="92"/>
      <c r="L69" s="18"/>
      <c r="M69" s="39"/>
      <c r="N69" s="18"/>
      <c r="O69" s="18"/>
      <c r="P69" s="18"/>
      <c r="Q69" s="18"/>
      <c r="T69" s="123" t="s">
        <v>244</v>
      </c>
      <c r="U69" s="46">
        <f t="shared" si="3"/>
        <v>157</v>
      </c>
      <c r="AH69" s="1"/>
      <c r="AU69" s="1"/>
      <c r="AV69" s="1"/>
    </row>
    <row r="70" spans="1:48" ht="12.75" customHeight="1">
      <c r="A70" s="18"/>
      <c r="B70" s="482"/>
      <c r="C70" s="482"/>
      <c r="D70" s="482"/>
      <c r="E70" s="482"/>
      <c r="F70" s="482"/>
      <c r="G70" s="483"/>
      <c r="H70" s="483"/>
      <c r="I70" s="483"/>
      <c r="J70" s="71"/>
      <c r="K70" s="92"/>
      <c r="L70" s="18"/>
      <c r="M70" s="39"/>
      <c r="N70" s="18"/>
      <c r="O70" s="18"/>
      <c r="P70" s="18"/>
      <c r="Q70" s="18"/>
      <c r="T70" s="123" t="s">
        <v>245</v>
      </c>
      <c r="U70" s="46">
        <f t="shared" si="3"/>
        <v>187</v>
      </c>
      <c r="AH70" s="1"/>
      <c r="AU70" s="1"/>
      <c r="AV70" s="1"/>
    </row>
    <row r="71" spans="1:48">
      <c r="A71" s="18"/>
      <c r="B71" s="482"/>
      <c r="C71" s="482"/>
      <c r="D71" s="482"/>
      <c r="E71" s="482"/>
      <c r="F71" s="482"/>
      <c r="G71" s="483"/>
      <c r="H71" s="483"/>
      <c r="I71" s="483"/>
      <c r="J71" s="71"/>
      <c r="K71" s="92"/>
      <c r="L71" s="18"/>
      <c r="M71" s="39"/>
      <c r="N71" s="18"/>
      <c r="O71" s="18"/>
      <c r="P71" s="18"/>
      <c r="Q71" s="18"/>
      <c r="T71" s="123" t="s">
        <v>246</v>
      </c>
      <c r="U71" s="46">
        <f t="shared" si="3"/>
        <v>218</v>
      </c>
      <c r="AH71" s="1"/>
      <c r="AU71" s="1"/>
      <c r="AV71" s="1"/>
    </row>
    <row r="72" spans="1:48">
      <c r="A72" s="18"/>
      <c r="B72" s="482"/>
      <c r="C72" s="482"/>
      <c r="D72" s="482"/>
      <c r="E72" s="482"/>
      <c r="F72" s="482"/>
      <c r="G72" s="483"/>
      <c r="H72" s="483"/>
      <c r="I72" s="483"/>
      <c r="J72" s="71"/>
      <c r="K72" s="92"/>
      <c r="L72" s="18"/>
      <c r="M72" s="39"/>
      <c r="N72" s="18"/>
      <c r="O72" s="18"/>
      <c r="P72" s="18"/>
      <c r="Q72" s="18"/>
      <c r="T72" s="123" t="s">
        <v>247</v>
      </c>
      <c r="U72" s="46">
        <f t="shared" si="3"/>
        <v>249</v>
      </c>
      <c r="AH72" s="1"/>
      <c r="AU72" s="1"/>
      <c r="AV72" s="1"/>
    </row>
    <row r="73" spans="1:48">
      <c r="A73" s="18"/>
      <c r="B73" s="93"/>
      <c r="C73" s="18"/>
      <c r="D73" s="18"/>
      <c r="E73" s="18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248</v>
      </c>
      <c r="U73" s="46">
        <f t="shared" si="3"/>
        <v>279</v>
      </c>
      <c r="AH73" s="1"/>
      <c r="AU73" s="1"/>
      <c r="AV73" s="1"/>
    </row>
    <row r="74" spans="1:48">
      <c r="A74" s="18"/>
      <c r="C74" s="93"/>
      <c r="D74" s="479"/>
      <c r="E74" s="480"/>
      <c r="F74" s="480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249</v>
      </c>
      <c r="U74" s="46">
        <f>IF(AND(DAY(U73)&gt;=6,DAY(U73)&lt;=20),DATE(YEAR(U73),MONTH(U73)+1,DAY(20)),IF(AND(DAY(U73)&gt;=21,DAY(U73)&lt;=30),DATE(YEAR(U73),MONTH(U73)+1,IF(DAY(EOMONTH(U73,1))&lt;30,DAY(EOMONTH(U73,1)),DAY(30))),DATE(YEAR(U73),MONTH(U73)+1,DAY(5))))</f>
        <v>310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T75" s="123" t="s">
        <v>250</v>
      </c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B77" s="93"/>
      <c r="C77" s="18"/>
      <c r="D77" s="94"/>
      <c r="E77" s="94"/>
      <c r="F77" s="18"/>
      <c r="G77" s="18"/>
      <c r="H77" s="18"/>
      <c r="I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>
      <c r="A78" s="18"/>
      <c r="B78" s="93"/>
      <c r="C78" s="18"/>
      <c r="D78" s="94"/>
      <c r="E78" s="94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B79" s="93"/>
      <c r="C79" s="18"/>
      <c r="D79" s="94"/>
      <c r="E79" s="94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26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26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26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 ht="12" customHeight="1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2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0.5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AH229" s="1"/>
      <c r="AU229" s="1"/>
      <c r="AV229" s="1"/>
    </row>
    <row r="230" spans="1:48" ht="12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AH230" s="1"/>
      <c r="AU230" s="1"/>
      <c r="AV230" s="1"/>
    </row>
    <row r="231" spans="1:48" ht="13.5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39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18"/>
      <c r="L232" s="18"/>
      <c r="M232" s="26"/>
      <c r="N232" s="18"/>
      <c r="O232" s="18"/>
      <c r="P232" s="18"/>
      <c r="Q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18"/>
      <c r="M233" s="26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8"/>
      <c r="L234" s="18"/>
      <c r="M234" s="26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81"/>
      <c r="L235" s="481"/>
      <c r="M235" s="481"/>
      <c r="N235" s="18"/>
      <c r="O235" s="18"/>
      <c r="P235" s="481"/>
      <c r="Q235" s="481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8"/>
      <c r="L236" s="474"/>
      <c r="M236" s="474"/>
      <c r="N236" s="18"/>
      <c r="O236" s="18"/>
      <c r="P236" s="18"/>
      <c r="Q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17"/>
      <c r="L237" s="18"/>
      <c r="M237" s="18"/>
      <c r="N237" s="18"/>
      <c r="O237" s="18"/>
      <c r="P237" s="18"/>
      <c r="Q237" s="18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9"/>
      <c r="L238" s="18"/>
      <c r="M238" s="18"/>
      <c r="N238" s="18"/>
      <c r="O238" s="18"/>
      <c r="P238" s="18"/>
      <c r="Q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7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93"/>
      <c r="C244" s="18"/>
      <c r="D244" s="18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93"/>
      <c r="C245" s="18"/>
      <c r="D245" s="18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93"/>
      <c r="C246" s="18"/>
      <c r="D246" s="18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26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26"/>
      <c r="E249" s="18"/>
      <c r="F249" s="18"/>
      <c r="G249" s="18"/>
      <c r="H249" s="18"/>
      <c r="I249" s="18"/>
      <c r="J249" s="71"/>
      <c r="K249" s="4"/>
      <c r="L249" s="1"/>
      <c r="AH249" s="1"/>
      <c r="AU249" s="1"/>
      <c r="AV249" s="1"/>
    </row>
    <row r="250" spans="1:48" ht="12" customHeight="1">
      <c r="A250" s="18"/>
      <c r="B250" s="18"/>
      <c r="C250" s="18"/>
      <c r="D250" s="26"/>
      <c r="E250" s="18"/>
      <c r="F250" s="18"/>
      <c r="G250" s="18"/>
      <c r="H250" s="18"/>
      <c r="I250" s="18"/>
      <c r="J250" s="18"/>
      <c r="K250" s="4"/>
      <c r="L250" s="1"/>
      <c r="AH250" s="1"/>
      <c r="AU250" s="1"/>
      <c r="AV250" s="1"/>
    </row>
    <row r="251" spans="1:48" ht="12" customHeight="1">
      <c r="B251" s="18"/>
      <c r="C251" s="18"/>
      <c r="D251" s="18"/>
      <c r="E251" s="18"/>
      <c r="F251" s="26"/>
      <c r="G251" s="26"/>
      <c r="H251" s="26"/>
      <c r="I251" s="26"/>
      <c r="J251" s="18"/>
      <c r="K251" s="4"/>
      <c r="L251" s="1"/>
      <c r="AH251" s="1"/>
      <c r="AU251" s="1"/>
      <c r="AV251" s="1"/>
    </row>
    <row r="252" spans="1:48" ht="12" customHeight="1">
      <c r="A252" s="95" t="e">
        <f>(F15-#REF!)*12%</f>
        <v>#REF!</v>
      </c>
      <c r="B252" s="18"/>
      <c r="C252" s="18"/>
      <c r="D252" s="18"/>
      <c r="E252" s="18"/>
      <c r="F252" s="18"/>
      <c r="G252" s="18"/>
      <c r="H252" s="18"/>
      <c r="I252" s="18"/>
      <c r="J252" s="18"/>
      <c r="K252" s="4"/>
      <c r="L252" s="1"/>
      <c r="AH252" s="1"/>
      <c r="AU252" s="1"/>
      <c r="AV252" s="1"/>
    </row>
    <row r="253" spans="1:48" ht="12" customHeight="1">
      <c r="A253" s="96"/>
      <c r="B253" s="18"/>
      <c r="C253" s="18"/>
      <c r="D253" s="97"/>
      <c r="E253" s="98"/>
      <c r="F253" s="98"/>
      <c r="G253" s="98"/>
      <c r="H253" s="98"/>
      <c r="I253" s="17"/>
      <c r="J253" s="18"/>
      <c r="AH253" s="1"/>
      <c r="AU253" s="1"/>
      <c r="AV253" s="1"/>
    </row>
    <row r="254" spans="1:48" ht="17.25" customHeight="1">
      <c r="B254" s="18"/>
      <c r="C254" s="18"/>
      <c r="D254" s="97"/>
      <c r="E254" s="98"/>
      <c r="F254" s="98"/>
      <c r="G254" s="98"/>
      <c r="H254" s="98"/>
      <c r="I254" s="19"/>
      <c r="J254" s="18"/>
      <c r="AH254" s="1"/>
      <c r="AU254" s="1"/>
      <c r="AV254" s="1"/>
    </row>
    <row r="255" spans="1:48" ht="15.75" customHeight="1">
      <c r="B255" s="95"/>
      <c r="D255" s="99"/>
      <c r="E255" s="100"/>
      <c r="F255" s="100"/>
      <c r="G255" s="100"/>
      <c r="H255" s="100"/>
      <c r="I255" s="17"/>
      <c r="J255" s="18"/>
      <c r="AH255" s="1"/>
      <c r="AU255" s="1"/>
      <c r="AV255" s="1"/>
    </row>
    <row r="256" spans="1:48" ht="12.75" customHeight="1">
      <c r="D256" s="99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J257" s="18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4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7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9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J263" s="17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1"/>
      <c r="AE396" s="102"/>
      <c r="AF396" s="101"/>
      <c r="AH396" s="1"/>
      <c r="AU396" s="1"/>
      <c r="AV396" s="1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2"/>
      <c r="AH397" s="104"/>
      <c r="AI397" s="105"/>
      <c r="AJ397" s="106"/>
      <c r="AK397" s="107"/>
      <c r="AL397" s="107"/>
      <c r="AM397" s="108"/>
      <c r="AN397" s="109"/>
      <c r="AO397" s="107"/>
      <c r="AP397" s="107"/>
      <c r="AQ397" s="110">
        <v>20000</v>
      </c>
      <c r="AR397" s="107"/>
      <c r="AS397" s="101">
        <v>24</v>
      </c>
      <c r="AT397" s="111"/>
      <c r="AU397" s="112"/>
      <c r="AV397" s="111"/>
      <c r="AW397" s="107"/>
      <c r="AX397" s="107"/>
      <c r="AY397" s="107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>
        <v>15000</v>
      </c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103"/>
      <c r="AE405" s="103"/>
      <c r="AF405" s="101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G406" s="103"/>
      <c r="AH406" s="113"/>
      <c r="AI406" s="114"/>
      <c r="AJ406" s="115"/>
      <c r="AK406" s="110"/>
      <c r="AL406" s="110"/>
      <c r="AM406" s="116"/>
      <c r="AN406" s="117"/>
      <c r="AO406" s="110"/>
      <c r="AP406" s="110"/>
      <c r="AQ406" s="110"/>
      <c r="AR406" s="110"/>
      <c r="AS406" s="103"/>
      <c r="AT406" s="118"/>
      <c r="AU406" s="119"/>
      <c r="AV406" s="118"/>
      <c r="AW406" s="110"/>
      <c r="AX406" s="110"/>
      <c r="AY406" s="110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D413" s="4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  <c r="AQ414" s="96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  <c r="AH421" s="12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2.75" customHeight="1">
      <c r="D754" s="99"/>
      <c r="E754" s="100"/>
      <c r="F754" s="100"/>
      <c r="G754" s="100"/>
      <c r="H754" s="100"/>
    </row>
    <row r="755" spans="4:8" ht="13.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</row>
    <row r="782" spans="4:28" ht="12.75" customHeight="1">
      <c r="D782" s="99"/>
      <c r="E782" s="100"/>
      <c r="F782" s="100"/>
      <c r="G782" s="100"/>
      <c r="H782" s="100"/>
      <c r="AB782" s="9">
        <v>1</v>
      </c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E792" s="100"/>
      <c r="F792" s="100"/>
      <c r="G792" s="100"/>
      <c r="H792" s="100"/>
    </row>
    <row r="793" spans="4:8" ht="12.75" customHeight="1">
      <c r="D793" s="99"/>
      <c r="E793" s="100"/>
      <c r="F793" s="100"/>
      <c r="G793" s="100"/>
      <c r="H793" s="100"/>
    </row>
    <row r="794" spans="4:8" ht="12.75" customHeight="1">
      <c r="D794" s="99"/>
      <c r="E794" s="100"/>
      <c r="F794" s="100"/>
      <c r="G794" s="100"/>
      <c r="H794" s="100"/>
    </row>
    <row r="795" spans="4:8" ht="12.75" customHeight="1">
      <c r="D795" s="99"/>
      <c r="F795" s="100"/>
      <c r="G795" s="100"/>
      <c r="H795" s="100"/>
    </row>
    <row r="796" spans="4:8" ht="12.75" customHeight="1">
      <c r="D796" s="99"/>
      <c r="F796" s="100"/>
      <c r="G796" s="100"/>
      <c r="H796" s="100"/>
    </row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.75" customHeight="1"/>
    <row r="805" ht="12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</sheetData>
  <sheetProtection algorithmName="SHA-512" hashValue="x/yfKEuObMBs90eQWHw71m99wvrac2HZuKwvXjogHEZj3e6GZa6EuzHmeokD85WyS7ZxcPfHxTeMWy8mJmSUxw==" saltValue="qGiAbShT5y4u8q9xhzh0mw==" spinCount="100000" sheet="1" objects="1" scenarios="1"/>
  <mergeCells count="126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K10:L10"/>
    <mergeCell ref="N10:Q10"/>
    <mergeCell ref="E7:I7"/>
    <mergeCell ref="K7:L7"/>
    <mergeCell ref="N7:Q7"/>
    <mergeCell ref="E8:I8"/>
    <mergeCell ref="K8:L8"/>
    <mergeCell ref="N8:Q8"/>
    <mergeCell ref="E10:F10"/>
    <mergeCell ref="G10:I10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K20:L20"/>
    <mergeCell ref="N20:O20"/>
    <mergeCell ref="P20:Q20"/>
    <mergeCell ref="W20:X20"/>
    <mergeCell ref="W18:X18"/>
    <mergeCell ref="F20:I20"/>
    <mergeCell ref="K19:L19"/>
    <mergeCell ref="N19:O19"/>
    <mergeCell ref="P19:Q19"/>
    <mergeCell ref="W19:X19"/>
    <mergeCell ref="K23:L23"/>
    <mergeCell ref="N23:O23"/>
    <mergeCell ref="P23:Q23"/>
    <mergeCell ref="F25:I25"/>
    <mergeCell ref="K24:L24"/>
    <mergeCell ref="K25:L25"/>
    <mergeCell ref="K26:L26"/>
    <mergeCell ref="K21:L21"/>
    <mergeCell ref="N21:O21"/>
    <mergeCell ref="P21:Q21"/>
    <mergeCell ref="F23:I23"/>
    <mergeCell ref="K22:L22"/>
    <mergeCell ref="N22:O22"/>
    <mergeCell ref="P22:Q22"/>
    <mergeCell ref="F21:I21"/>
    <mergeCell ref="B26:C26"/>
    <mergeCell ref="H26:I26"/>
    <mergeCell ref="K27:L27"/>
    <mergeCell ref="K28:L28"/>
    <mergeCell ref="K29:L29"/>
    <mergeCell ref="N24:O24"/>
    <mergeCell ref="N25:O25"/>
    <mergeCell ref="N26:O26"/>
    <mergeCell ref="N27:O27"/>
    <mergeCell ref="N28:O28"/>
    <mergeCell ref="N29:O29"/>
    <mergeCell ref="K30:L30"/>
    <mergeCell ref="N30:O30"/>
    <mergeCell ref="P30:Q30"/>
    <mergeCell ref="F34:I34"/>
    <mergeCell ref="K33:L33"/>
    <mergeCell ref="N33:O33"/>
    <mergeCell ref="B30:C30"/>
    <mergeCell ref="F30:I30"/>
    <mergeCell ref="F28:I28"/>
    <mergeCell ref="O42:Q42"/>
    <mergeCell ref="F49:I49"/>
    <mergeCell ref="F50:I50"/>
    <mergeCell ref="F51:I51"/>
    <mergeCell ref="K41:M41"/>
    <mergeCell ref="F38:I38"/>
    <mergeCell ref="F39:I39"/>
    <mergeCell ref="F40:I40"/>
    <mergeCell ref="F41:I41"/>
    <mergeCell ref="F42:I42"/>
    <mergeCell ref="L236:M236"/>
    <mergeCell ref="B32:C32"/>
    <mergeCell ref="F32:I32"/>
    <mergeCell ref="D74:F74"/>
    <mergeCell ref="K235:M235"/>
    <mergeCell ref="P235:Q235"/>
    <mergeCell ref="B71:C72"/>
    <mergeCell ref="D71:F72"/>
    <mergeCell ref="G71:I72"/>
    <mergeCell ref="B67:C68"/>
    <mergeCell ref="D67:F68"/>
    <mergeCell ref="G67:I68"/>
    <mergeCell ref="B69:C70"/>
    <mergeCell ref="D69:F70"/>
    <mergeCell ref="G69:I70"/>
    <mergeCell ref="B65:C66"/>
    <mergeCell ref="D65:F66"/>
    <mergeCell ref="G65:I66"/>
    <mergeCell ref="K61:M61"/>
    <mergeCell ref="O61:Q61"/>
    <mergeCell ref="L62:M62"/>
    <mergeCell ref="O62:Q62"/>
    <mergeCell ref="F53:G53"/>
    <mergeCell ref="L42:M42"/>
  </mergeCells>
  <phoneticPr fontId="13" type="noConversion"/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C40C4-2DB6-4CB9-9FB3-1E33D76CD144}">
  <sheetPr codeName="Sheet5"/>
  <dimension ref="A1:AY870"/>
  <sheetViews>
    <sheetView topLeftCell="A4" zoomScale="90" zoomScaleNormal="90" workbookViewId="0">
      <selection activeCell="F21" sqref="F21:I21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customWidth="1"/>
    <col min="21" max="22" width="11.42578125" style="1" customWidth="1"/>
    <col min="23" max="24" width="8.85546875" style="1" customWidth="1"/>
    <col min="25" max="25" width="11.28515625" style="1" customWidth="1"/>
    <col min="26" max="26" width="8.85546875" style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53" t="s">
        <v>251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San Diego Unit B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str">
        <f>'Pricelist Standard'!H10</f>
        <v>2 Storey</v>
      </c>
      <c r="F10" s="543"/>
      <c r="G10" s="543" t="str">
        <f>'Pricelist Standard'!E10</f>
        <v>Inner</v>
      </c>
      <c r="H10" s="533"/>
      <c r="I10" s="534"/>
      <c r="J10" s="17"/>
      <c r="K10" s="535" t="s">
        <v>169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>
        <f>'Pricelist Standard'!I10</f>
        <v>142.44999999999999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>
        <f t="shared" si="0"/>
        <v>142.44999999999999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>
        <f>'Pricelist Standard'!J10</f>
        <v>80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>
        <f>'Pricelist Standard'!S10</f>
        <v>8962700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43"/>
      <c r="F16" s="551">
        <v>0</v>
      </c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41"/>
      <c r="F17" s="526">
        <f>F15-F16</f>
        <v>8962700</v>
      </c>
      <c r="G17" s="526"/>
      <c r="H17" s="526"/>
      <c r="I17" s="527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EDATE(U17,E30)</f>
        <v>#REF!</v>
      </c>
    </row>
    <row r="18" spans="1:48" ht="14.25">
      <c r="A18" s="18"/>
      <c r="B18" s="142" t="s">
        <v>180</v>
      </c>
      <c r="C18" s="45"/>
      <c r="D18" s="26"/>
      <c r="E18" s="145"/>
      <c r="F18" s="150">
        <f>F17/E11</f>
        <v>62918.216918216924</v>
      </c>
      <c r="G18" s="146"/>
      <c r="H18" s="146"/>
      <c r="I18" s="147"/>
      <c r="J18" s="19"/>
      <c r="K18" s="501" t="e">
        <f>IF(N18="","",T18)</f>
        <v>#REF!</v>
      </c>
      <c r="L18" s="501"/>
      <c r="M18" s="46" t="e">
        <f>IF(N18="","",U18)</f>
        <v>#REF!</v>
      </c>
      <c r="N18" s="502" t="e">
        <f>IF($E$30&gt;0,$F$30,"")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4.25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1" t="e">
        <f t="shared" ref="K19:K29" si="1">IF(N19="","",T19)</f>
        <v>#REF!</v>
      </c>
      <c r="L19" s="501"/>
      <c r="M19" s="46" t="e">
        <f t="shared" ref="M19:M29" si="2">IF(N19="","",U19)</f>
        <v>#REF!</v>
      </c>
      <c r="N19" s="502" t="e">
        <f>IF($E$30&gt;1,$F$30,"")</f>
        <v>#REF!</v>
      </c>
      <c r="O19" s="503"/>
      <c r="P19" s="504"/>
      <c r="Q19" s="505"/>
      <c r="T19" s="140" t="s">
        <v>183</v>
      </c>
      <c r="U19" s="46">
        <f t="shared" ref="U19:U73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4.25">
      <c r="A20" s="30"/>
      <c r="B20" s="28" t="s">
        <v>185</v>
      </c>
      <c r="C20" s="28"/>
      <c r="D20" s="42" t="s">
        <v>73</v>
      </c>
      <c r="E20" s="50">
        <f>'Pricelist Standard'!AE7</f>
        <v>0</v>
      </c>
      <c r="F20" s="551">
        <f>F15*E20</f>
        <v>0</v>
      </c>
      <c r="G20" s="551"/>
      <c r="H20" s="551"/>
      <c r="I20" s="552"/>
      <c r="J20" s="19"/>
      <c r="K20" s="501" t="e">
        <f t="shared" si="1"/>
        <v>#REF!</v>
      </c>
      <c r="L20" s="501"/>
      <c r="M20" s="46" t="e">
        <f t="shared" si="2"/>
        <v>#REF!</v>
      </c>
      <c r="N20" s="502" t="e">
        <f>IF($E$30&gt;2,$F$30,"")</f>
        <v>#REF!</v>
      </c>
      <c r="O20" s="503"/>
      <c r="P20" s="504"/>
      <c r="Q20" s="505"/>
      <c r="T20" s="140" t="s">
        <v>186</v>
      </c>
      <c r="U20" s="46">
        <f t="shared" ca="1" si="3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151">
        <v>3.5000000000000003E-2</v>
      </c>
      <c r="F21" s="548">
        <f>E21*F15</f>
        <v>313694.50000000006</v>
      </c>
      <c r="G21" s="549"/>
      <c r="H21" s="549"/>
      <c r="I21" s="550"/>
      <c r="J21" s="19"/>
      <c r="K21" s="501" t="e">
        <f t="shared" si="1"/>
        <v>#REF!</v>
      </c>
      <c r="L21" s="501"/>
      <c r="M21" s="46" t="e">
        <f t="shared" si="2"/>
        <v>#REF!</v>
      </c>
      <c r="N21" s="502" t="e">
        <f>IF($E$30&gt;3,$F$30,"")</f>
        <v>#REF!</v>
      </c>
      <c r="O21" s="503"/>
      <c r="P21" s="504"/>
      <c r="Q21" s="505"/>
      <c r="T21" s="140" t="s">
        <v>189</v>
      </c>
      <c r="U21" s="46">
        <f t="shared" ca="1" si="3"/>
        <v>45981</v>
      </c>
      <c r="Y21" s="136"/>
      <c r="AV21" s="1"/>
    </row>
    <row r="22" spans="1:48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1" t="e">
        <f t="shared" si="1"/>
        <v>#REF!</v>
      </c>
      <c r="L22" s="501"/>
      <c r="M22" s="46" t="e">
        <f t="shared" si="2"/>
        <v>#REF!</v>
      </c>
      <c r="N22" s="502" t="e">
        <f>IF($E$30&gt;4,$F$30,"")</f>
        <v>#REF!</v>
      </c>
      <c r="O22" s="503"/>
      <c r="P22" s="504"/>
      <c r="Q22" s="505"/>
      <c r="T22" s="140" t="s">
        <v>190</v>
      </c>
      <c r="U22" s="46">
        <f t="shared" ca="1" si="3"/>
        <v>46011</v>
      </c>
      <c r="AV22" s="1"/>
    </row>
    <row r="23" spans="1:48">
      <c r="A23" s="18"/>
      <c r="B23" s="44" t="s">
        <v>17</v>
      </c>
      <c r="C23" s="45"/>
      <c r="D23" s="17" t="s">
        <v>73</v>
      </c>
      <c r="E23" s="51"/>
      <c r="F23" s="476">
        <f>F17+F20+F21</f>
        <v>9276394.5</v>
      </c>
      <c r="G23" s="477"/>
      <c r="H23" s="477"/>
      <c r="I23" s="478"/>
      <c r="J23" s="19"/>
      <c r="K23" s="501" t="e">
        <f t="shared" si="1"/>
        <v>#REF!</v>
      </c>
      <c r="L23" s="501"/>
      <c r="M23" s="46" t="e">
        <f t="shared" si="2"/>
        <v>#REF!</v>
      </c>
      <c r="N23" s="502" t="e">
        <f>IF($E$30&gt;5,$F$30,"")</f>
        <v>#REF!</v>
      </c>
      <c r="O23" s="503"/>
      <c r="P23" s="504"/>
      <c r="Q23" s="505"/>
      <c r="T23" s="140" t="s">
        <v>191</v>
      </c>
      <c r="U23" s="46">
        <f t="shared" ca="1" si="3"/>
        <v>46042</v>
      </c>
      <c r="AV23" s="1"/>
    </row>
    <row r="24" spans="1:48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1" t="e">
        <f t="shared" si="1"/>
        <v>#REF!</v>
      </c>
      <c r="L24" s="501"/>
      <c r="M24" s="46" t="e">
        <f t="shared" si="2"/>
        <v>#REF!</v>
      </c>
      <c r="N24" s="502" t="e">
        <f>IF($E$30&gt;6,$F$30,"")</f>
        <v>#REF!</v>
      </c>
      <c r="O24" s="503"/>
      <c r="P24" s="127"/>
      <c r="Q24" s="128"/>
      <c r="T24" s="140" t="s">
        <v>192</v>
      </c>
      <c r="U24" s="46">
        <f t="shared" ca="1" si="3"/>
        <v>46073</v>
      </c>
      <c r="AV24" s="1"/>
    </row>
    <row r="25" spans="1:48">
      <c r="A25" s="18"/>
      <c r="B25" s="24" t="s">
        <v>193</v>
      </c>
      <c r="C25" s="25"/>
      <c r="D25" s="40" t="s">
        <v>73</v>
      </c>
      <c r="E25" s="56">
        <f>'SPC San Diego A'!E25</f>
        <v>0.05</v>
      </c>
      <c r="F25" s="476">
        <f>F23*E25</f>
        <v>463819.72500000003</v>
      </c>
      <c r="G25" s="477"/>
      <c r="H25" s="477"/>
      <c r="I25" s="478"/>
      <c r="J25" s="19"/>
      <c r="K25" s="501" t="e">
        <f t="shared" si="1"/>
        <v>#REF!</v>
      </c>
      <c r="L25" s="501"/>
      <c r="M25" s="46" t="e">
        <f t="shared" si="2"/>
        <v>#REF!</v>
      </c>
      <c r="N25" s="502" t="e">
        <f>IF($E$30&gt;7,$F$30,"")</f>
        <v>#REF!</v>
      </c>
      <c r="O25" s="503"/>
      <c r="P25" s="127"/>
      <c r="Q25" s="128"/>
      <c r="T25" s="140" t="s">
        <v>194</v>
      </c>
      <c r="U25" s="46">
        <f t="shared" ca="1" si="3"/>
        <v>46101</v>
      </c>
      <c r="AV25" s="1"/>
    </row>
    <row r="26" spans="1:48">
      <c r="A26" s="18"/>
      <c r="B26" s="498" t="s">
        <v>195</v>
      </c>
      <c r="C26" s="498"/>
      <c r="D26" s="42" t="str">
        <f>D25</f>
        <v>:</v>
      </c>
      <c r="E26" s="57"/>
      <c r="F26" s="58"/>
      <c r="G26" s="58"/>
      <c r="H26" s="499"/>
      <c r="I26" s="500"/>
      <c r="J26" s="19"/>
      <c r="K26" s="501" t="e">
        <f t="shared" si="1"/>
        <v>#REF!</v>
      </c>
      <c r="L26" s="501"/>
      <c r="M26" s="46" t="e">
        <f t="shared" si="2"/>
        <v>#REF!</v>
      </c>
      <c r="N26" s="502" t="e">
        <f>IF($E$30&gt;8,$F$30,"")</f>
        <v>#REF!</v>
      </c>
      <c r="O26" s="503"/>
      <c r="P26" s="127"/>
      <c r="Q26" s="128"/>
      <c r="T26" s="140" t="s">
        <v>196</v>
      </c>
      <c r="U26" s="46">
        <f t="shared" ca="1" si="3"/>
        <v>46132</v>
      </c>
      <c r="AV26" s="1"/>
    </row>
    <row r="27" spans="1:48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1" t="e">
        <f t="shared" si="1"/>
        <v>#REF!</v>
      </c>
      <c r="L27" s="501"/>
      <c r="M27" s="46" t="e">
        <f t="shared" si="2"/>
        <v>#REF!</v>
      </c>
      <c r="N27" s="502" t="e">
        <f>IF($E$30&gt;9,$F$30,"")</f>
        <v>#REF!</v>
      </c>
      <c r="O27" s="503"/>
      <c r="P27" s="127"/>
      <c r="Q27" s="128"/>
      <c r="T27" s="140" t="s">
        <v>198</v>
      </c>
      <c r="U27" s="46">
        <f t="shared" ca="1" si="3"/>
        <v>46162</v>
      </c>
      <c r="AV27" s="1"/>
    </row>
    <row r="28" spans="1:48">
      <c r="A28" s="18"/>
      <c r="B28" s="44" t="s">
        <v>199</v>
      </c>
      <c r="C28" s="45"/>
      <c r="D28" s="17" t="s">
        <v>73</v>
      </c>
      <c r="E28" s="59"/>
      <c r="F28" s="476">
        <f>F25-F26-F27</f>
        <v>413819.72500000003</v>
      </c>
      <c r="G28" s="477"/>
      <c r="H28" s="477"/>
      <c r="I28" s="478"/>
      <c r="J28" s="19"/>
      <c r="K28" s="501" t="e">
        <f t="shared" si="1"/>
        <v>#REF!</v>
      </c>
      <c r="L28" s="501"/>
      <c r="M28" s="46" t="e">
        <f t="shared" si="2"/>
        <v>#REF!</v>
      </c>
      <c r="N28" s="502" t="e">
        <f>IF($E$30&gt;10,$F$30,"")</f>
        <v>#REF!</v>
      </c>
      <c r="O28" s="503"/>
      <c r="P28" s="127"/>
      <c r="Q28" s="128"/>
      <c r="T28" s="140" t="s">
        <v>200</v>
      </c>
      <c r="U28" s="46">
        <f t="shared" ca="1" si="3"/>
        <v>46193</v>
      </c>
      <c r="AV28" s="1"/>
    </row>
    <row r="29" spans="1:48">
      <c r="A29" s="18"/>
      <c r="B29" s="35"/>
      <c r="C29" s="20"/>
      <c r="D29" s="26"/>
      <c r="E29" s="17"/>
      <c r="F29" s="47"/>
      <c r="G29" s="54"/>
      <c r="H29" s="54"/>
      <c r="I29" s="54"/>
      <c r="J29" s="19"/>
      <c r="K29" s="501" t="e">
        <f t="shared" si="1"/>
        <v>#REF!</v>
      </c>
      <c r="L29" s="501"/>
      <c r="M29" s="46" t="e">
        <f t="shared" si="2"/>
        <v>#REF!</v>
      </c>
      <c r="N29" s="490" t="e">
        <f>IF($E$30&gt;11,$F$30,"")</f>
        <v>#REF!</v>
      </c>
      <c r="O29" s="490"/>
      <c r="P29" s="127"/>
      <c r="Q29" s="128"/>
      <c r="T29" s="140" t="s">
        <v>201</v>
      </c>
      <c r="U29" s="46">
        <f t="shared" ca="1" si="3"/>
        <v>46223</v>
      </c>
      <c r="AV29" s="1"/>
    </row>
    <row r="30" spans="1:48">
      <c r="A30" s="64"/>
      <c r="B30" s="475" t="s">
        <v>202</v>
      </c>
      <c r="C30" s="475"/>
      <c r="D30" s="17" t="s">
        <v>73</v>
      </c>
      <c r="E30" s="141" t="e">
        <f>'Pricelist Standard'!#REF!</f>
        <v>#REF!</v>
      </c>
      <c r="F30" s="476" t="e">
        <f>F28/E30</f>
        <v>#REF!</v>
      </c>
      <c r="G30" s="477"/>
      <c r="H30" s="477"/>
      <c r="I30" s="478"/>
      <c r="J30" s="19"/>
      <c r="K30" s="492" t="s">
        <v>203</v>
      </c>
      <c r="L30" s="492"/>
      <c r="M30" s="46">
        <f ca="1">IF(N30&gt;1,U30,"")</f>
        <v>46254</v>
      </c>
      <c r="N30" s="493">
        <f>F34</f>
        <v>8812574.7750000004</v>
      </c>
      <c r="O30" s="493"/>
      <c r="P30" s="494"/>
      <c r="Q30" s="495"/>
      <c r="T30" s="123" t="s">
        <v>204</v>
      </c>
      <c r="U30" s="46">
        <f t="shared" ca="1" si="3"/>
        <v>46254</v>
      </c>
      <c r="AV30" s="1"/>
    </row>
    <row r="31" spans="1:48">
      <c r="A31" s="18"/>
      <c r="B31" s="20"/>
      <c r="C31" s="35"/>
      <c r="D31" s="26"/>
      <c r="E31" s="65"/>
      <c r="F31" s="47"/>
      <c r="G31" s="47"/>
      <c r="H31" s="47"/>
      <c r="I31" s="47"/>
      <c r="J31" s="19"/>
      <c r="K31" s="17"/>
      <c r="L31" s="17"/>
      <c r="M31" s="68"/>
      <c r="N31" s="121"/>
      <c r="O31" s="121"/>
      <c r="P31" s="122"/>
      <c r="Q31" s="122"/>
      <c r="T31" s="123"/>
      <c r="U31" s="46"/>
      <c r="AV31" s="1"/>
    </row>
    <row r="32" spans="1:48">
      <c r="A32" s="18"/>
      <c r="B32" s="475" t="s">
        <v>205</v>
      </c>
      <c r="C32" s="475"/>
      <c r="D32" s="17" t="s">
        <v>73</v>
      </c>
      <c r="E32" s="124">
        <v>0</v>
      </c>
      <c r="F32" s="476">
        <f>F23*E32</f>
        <v>0</v>
      </c>
      <c r="G32" s="477"/>
      <c r="H32" s="477"/>
      <c r="I32" s="478"/>
      <c r="J32" s="19"/>
      <c r="K32" s="17"/>
      <c r="L32" s="17"/>
      <c r="M32" s="68"/>
      <c r="N32" s="121" t="e">
        <f>SUM(N17:O31)</f>
        <v>#REF!</v>
      </c>
      <c r="O32" s="121"/>
      <c r="P32" s="122"/>
      <c r="Q32" s="122"/>
      <c r="T32" s="123"/>
      <c r="U32" s="46"/>
      <c r="AV32" s="1"/>
    </row>
    <row r="33" spans="1:48">
      <c r="A33" s="18"/>
      <c r="B33" s="20"/>
      <c r="C33" s="35"/>
      <c r="D33" s="26"/>
      <c r="E33" s="65"/>
      <c r="F33" s="47"/>
      <c r="G33" s="47"/>
      <c r="H33" s="47"/>
      <c r="I33" s="47"/>
      <c r="J33" s="19"/>
      <c r="K33" s="496"/>
      <c r="L33" s="496"/>
      <c r="M33" s="68"/>
      <c r="N33" s="497"/>
      <c r="O33" s="497"/>
      <c r="P33" s="69"/>
      <c r="Q33" s="19"/>
      <c r="T33" s="123" t="s">
        <v>206</v>
      </c>
      <c r="U33" s="46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AV33" s="1"/>
    </row>
    <row r="34" spans="1:48">
      <c r="A34" s="18"/>
      <c r="B34" s="44" t="s">
        <v>207</v>
      </c>
      <c r="C34" s="44"/>
      <c r="D34" s="17" t="s">
        <v>73</v>
      </c>
      <c r="E34" s="67">
        <f>100%-E25-E32</f>
        <v>0.95</v>
      </c>
      <c r="F34" s="476">
        <f>F23*E34</f>
        <v>8812574.7750000004</v>
      </c>
      <c r="G34" s="477"/>
      <c r="H34" s="477"/>
      <c r="I34" s="478"/>
      <c r="J34" s="19"/>
      <c r="T34" s="123" t="s">
        <v>208</v>
      </c>
      <c r="U34" s="46">
        <f t="shared" ca="1" si="3"/>
        <v>46315</v>
      </c>
      <c r="AV34" s="1"/>
    </row>
    <row r="35" spans="1:48">
      <c r="A35" s="18"/>
      <c r="B35" s="20"/>
      <c r="C35" s="35"/>
      <c r="D35" s="65"/>
      <c r="E35" s="65"/>
      <c r="F35" s="65"/>
      <c r="G35" s="70"/>
      <c r="H35" s="70"/>
      <c r="I35" s="70"/>
      <c r="J35" s="17"/>
      <c r="T35" s="123" t="s">
        <v>209</v>
      </c>
      <c r="U35" s="46">
        <f t="shared" ca="1" si="3"/>
        <v>46346</v>
      </c>
      <c r="AV35" s="1"/>
    </row>
    <row r="36" spans="1:48">
      <c r="A36" s="18"/>
      <c r="B36" s="45" t="s">
        <v>210</v>
      </c>
      <c r="C36" s="44"/>
      <c r="D36" s="71"/>
      <c r="E36" s="72"/>
      <c r="F36" s="73"/>
      <c r="G36" s="70"/>
      <c r="H36" s="70"/>
      <c r="I36" s="70"/>
      <c r="J36" s="17"/>
      <c r="T36" s="123" t="s">
        <v>211</v>
      </c>
      <c r="U36" s="46">
        <f t="shared" ca="1" si="3"/>
        <v>46376</v>
      </c>
      <c r="AV36" s="1"/>
    </row>
    <row r="37" spans="1:48">
      <c r="A37" s="18"/>
      <c r="B37" s="18"/>
      <c r="C37" s="74"/>
      <c r="D37" s="74"/>
      <c r="E37" s="75"/>
      <c r="F37" s="71"/>
      <c r="G37" s="71"/>
      <c r="H37" s="71"/>
      <c r="I37" s="71"/>
      <c r="J37" s="74"/>
      <c r="K37" s="74"/>
      <c r="L37" s="74"/>
      <c r="M37" s="74"/>
      <c r="N37" s="74"/>
      <c r="O37" s="74"/>
      <c r="P37" s="74"/>
      <c r="Q37" s="74"/>
      <c r="R37" s="74"/>
      <c r="T37" s="123" t="s">
        <v>212</v>
      </c>
      <c r="U37" s="46">
        <f t="shared" ca="1" si="3"/>
        <v>46407</v>
      </c>
      <c r="AV37" s="1"/>
    </row>
    <row r="38" spans="1:48">
      <c r="A38" s="18"/>
      <c r="B38" s="76" t="s">
        <v>213</v>
      </c>
      <c r="C38" s="76" t="s">
        <v>214</v>
      </c>
      <c r="D38" s="76" t="s">
        <v>215</v>
      </c>
      <c r="E38" s="76" t="s">
        <v>216</v>
      </c>
      <c r="F38" s="489" t="s">
        <v>217</v>
      </c>
      <c r="G38" s="489"/>
      <c r="H38" s="489"/>
      <c r="I38" s="489"/>
      <c r="J38" s="19"/>
      <c r="K38" s="19" t="s">
        <v>218</v>
      </c>
      <c r="L38" s="18"/>
      <c r="M38" s="18"/>
      <c r="N38" s="18"/>
      <c r="O38" s="19" t="s">
        <v>219</v>
      </c>
      <c r="P38" s="18"/>
      <c r="Q38" s="18"/>
      <c r="R38" s="18"/>
      <c r="T38" s="123" t="s">
        <v>220</v>
      </c>
      <c r="U38" s="46">
        <f t="shared" ca="1" si="3"/>
        <v>46438</v>
      </c>
      <c r="AV38" s="1"/>
    </row>
    <row r="39" spans="1:48">
      <c r="A39" s="18"/>
      <c r="B39" s="77">
        <v>5</v>
      </c>
      <c r="C39" s="78">
        <v>7.0000000000000007E-2</v>
      </c>
      <c r="D39" s="79">
        <f>PMT(C39/12,B39*12,-1)</f>
        <v>1.9801198540349535E-2</v>
      </c>
      <c r="E39" s="80">
        <f>F34*D39</f>
        <v>174499.54277145115</v>
      </c>
      <c r="F39" s="490">
        <f>E39/0.33</f>
        <v>528786.49324682169</v>
      </c>
      <c r="G39" s="490"/>
      <c r="H39" s="490"/>
      <c r="I39" s="490"/>
      <c r="J39" s="19"/>
      <c r="K39" s="18"/>
      <c r="L39" s="18"/>
      <c r="M39" s="26"/>
      <c r="N39" s="18"/>
      <c r="O39" s="18"/>
      <c r="P39" s="18"/>
      <c r="Q39" s="18"/>
      <c r="R39" s="18"/>
      <c r="T39" s="123" t="s">
        <v>221</v>
      </c>
      <c r="U39" s="46">
        <f t="shared" ca="1" si="3"/>
        <v>46466</v>
      </c>
      <c r="AV39" s="1"/>
    </row>
    <row r="40" spans="1:48">
      <c r="A40" s="18"/>
      <c r="B40" s="77">
        <v>10</v>
      </c>
      <c r="C40" s="78">
        <v>7.0000000000000007E-2</v>
      </c>
      <c r="D40" s="79">
        <f>PMT(C40/12,B40*12,-1)</f>
        <v>1.1610847921862406E-2</v>
      </c>
      <c r="E40" s="80">
        <f>F34*D40</f>
        <v>102321.46551256582</v>
      </c>
      <c r="F40" s="490">
        <f>E40/0.33</f>
        <v>310065.04700777517</v>
      </c>
      <c r="G40" s="490"/>
      <c r="H40" s="490"/>
      <c r="I40" s="490"/>
      <c r="J40" s="19"/>
      <c r="K40" s="18"/>
      <c r="L40" s="18"/>
      <c r="M40" s="26"/>
      <c r="N40" s="18"/>
      <c r="O40" s="18"/>
      <c r="P40" s="18"/>
      <c r="Q40" s="18"/>
      <c r="R40" s="18"/>
      <c r="T40" s="123" t="s">
        <v>222</v>
      </c>
      <c r="U40" s="46">
        <f t="shared" ca="1" si="3"/>
        <v>46497</v>
      </c>
      <c r="AV40" s="1"/>
    </row>
    <row r="41" spans="1:48">
      <c r="A41" s="18"/>
      <c r="B41" s="77">
        <v>15</v>
      </c>
      <c r="C41" s="78">
        <v>7.0000000000000007E-2</v>
      </c>
      <c r="D41" s="79">
        <f t="shared" ref="D41:D42" si="4">PMT(C41/12,B41*12,-1)</f>
        <v>8.988282708524269E-3</v>
      </c>
      <c r="E41" s="80">
        <f>F34*D41</f>
        <v>79209.913467709659</v>
      </c>
      <c r="F41" s="490">
        <f>E41/0.33</f>
        <v>240030.04081124137</v>
      </c>
      <c r="G41" s="490"/>
      <c r="H41" s="490"/>
      <c r="I41" s="490"/>
      <c r="J41" s="19"/>
      <c r="K41" s="491"/>
      <c r="L41" s="491"/>
      <c r="M41" s="491"/>
      <c r="N41" s="19"/>
      <c r="O41" s="125"/>
      <c r="P41" s="125"/>
      <c r="Q41" s="125"/>
      <c r="R41" s="126"/>
      <c r="T41" s="123" t="s">
        <v>223</v>
      </c>
      <c r="U41" s="46">
        <f t="shared" ca="1" si="3"/>
        <v>46527</v>
      </c>
      <c r="AV41" s="1"/>
    </row>
    <row r="42" spans="1:48">
      <c r="A42" s="18"/>
      <c r="B42" s="77">
        <v>20</v>
      </c>
      <c r="C42" s="78">
        <v>7.0000000000000007E-2</v>
      </c>
      <c r="D42" s="79">
        <f t="shared" si="4"/>
        <v>7.7529893561887461E-3</v>
      </c>
      <c r="E42" s="80">
        <f>F34*D42</f>
        <v>68323.798431192437</v>
      </c>
      <c r="F42" s="490">
        <f>E42/0.33</f>
        <v>207041.81342785587</v>
      </c>
      <c r="G42" s="490"/>
      <c r="H42" s="490"/>
      <c r="I42" s="490"/>
      <c r="J42" s="19"/>
      <c r="K42" s="86" t="s">
        <v>224</v>
      </c>
      <c r="L42" s="487"/>
      <c r="M42" s="487"/>
      <c r="N42" s="18"/>
      <c r="O42" s="488" t="s">
        <v>225</v>
      </c>
      <c r="P42" s="488"/>
      <c r="Q42" s="488"/>
      <c r="R42" s="126"/>
      <c r="T42" s="123"/>
      <c r="U42" s="46"/>
      <c r="AV42" s="1"/>
    </row>
    <row r="43" spans="1:48" ht="14.25">
      <c r="A43" s="18"/>
      <c r="B43" s="81" t="s">
        <v>226</v>
      </c>
      <c r="C43" s="82"/>
      <c r="D43" s="83"/>
      <c r="E43" s="129"/>
      <c r="F43" s="130"/>
      <c r="G43" s="130"/>
      <c r="H43" s="130"/>
      <c r="I43" s="130"/>
      <c r="J43" s="19"/>
      <c r="K43" s="89"/>
      <c r="L43" s="89"/>
      <c r="M43" s="89"/>
      <c r="N43" s="89"/>
      <c r="O43" s="89"/>
      <c r="P43" s="90"/>
      <c r="Q43" s="90"/>
      <c r="R43" s="126"/>
      <c r="T43" s="123"/>
      <c r="U43" s="46"/>
      <c r="AV43" s="1"/>
    </row>
    <row r="44" spans="1:48">
      <c r="A44" s="18"/>
      <c r="B44" s="81" t="s">
        <v>227</v>
      </c>
      <c r="C44" s="82"/>
      <c r="D44" s="83"/>
      <c r="E44" s="129"/>
      <c r="F44" s="130"/>
      <c r="G44" s="130"/>
      <c r="H44" s="130"/>
      <c r="I44" s="130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/>
      <c r="AV44" s="1"/>
    </row>
    <row r="45" spans="1:48">
      <c r="A45" s="18"/>
      <c r="B45" s="91" t="s">
        <v>228</v>
      </c>
      <c r="C45" s="82"/>
      <c r="D45" s="83"/>
      <c r="E45" s="129"/>
      <c r="F45" s="130"/>
      <c r="G45" s="130"/>
      <c r="H45" s="130"/>
      <c r="I45" s="130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/>
      <c r="AV45" s="1"/>
    </row>
    <row r="46" spans="1:48">
      <c r="A46" s="18"/>
      <c r="B46" s="91" t="s">
        <v>229</v>
      </c>
      <c r="C46" s="82"/>
      <c r="D46" s="83"/>
      <c r="E46" s="129"/>
      <c r="F46" s="130"/>
      <c r="G46" s="130"/>
      <c r="H46" s="130"/>
      <c r="I46" s="13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/>
      <c r="AV46" s="1"/>
    </row>
    <row r="47" spans="1:48">
      <c r="A47" s="18"/>
      <c r="B47" s="26"/>
      <c r="C47" s="82"/>
      <c r="D47" s="83"/>
      <c r="E47" s="129"/>
      <c r="F47" s="130"/>
      <c r="G47" s="130"/>
      <c r="H47" s="130"/>
      <c r="I47" s="13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/>
      <c r="AV47" s="1"/>
    </row>
    <row r="48" spans="1:48">
      <c r="A48" s="18"/>
      <c r="B48" s="19" t="s">
        <v>230</v>
      </c>
      <c r="C48" s="82"/>
      <c r="D48" s="83"/>
      <c r="E48" s="129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/>
      <c r="AV48" s="1"/>
    </row>
    <row r="49" spans="1:48">
      <c r="A49" s="18"/>
      <c r="B49" s="76" t="s">
        <v>213</v>
      </c>
      <c r="C49" s="76" t="s">
        <v>214</v>
      </c>
      <c r="D49" s="76" t="s">
        <v>215</v>
      </c>
      <c r="E49" s="76" t="s">
        <v>231</v>
      </c>
      <c r="F49" s="489" t="s">
        <v>217</v>
      </c>
      <c r="G49" s="489"/>
      <c r="H49" s="489"/>
      <c r="I49" s="489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/>
      <c r="AV49" s="1"/>
    </row>
    <row r="50" spans="1:48">
      <c r="A50" s="18"/>
      <c r="B50" s="78" t="s">
        <v>232</v>
      </c>
      <c r="C50" s="131">
        <v>0.16</v>
      </c>
      <c r="D50" s="79">
        <f>'Pricelist Standard'!AQ6</f>
        <v>2.4318057116359135E-2</v>
      </c>
      <c r="E50" s="80">
        <f>F34*D50</f>
        <v>214304.69672063575</v>
      </c>
      <c r="F50" s="490">
        <f>E50/0.33</f>
        <v>649408.17188071436</v>
      </c>
      <c r="G50" s="490"/>
      <c r="H50" s="490"/>
      <c r="I50" s="490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/>
      <c r="AV50" s="1"/>
    </row>
    <row r="51" spans="1:48">
      <c r="A51" s="18"/>
      <c r="B51" s="78" t="s">
        <v>233</v>
      </c>
      <c r="C51" s="131">
        <v>0.14000000000000001</v>
      </c>
      <c r="D51" s="79">
        <f>'Pricelist Standard'!AU6</f>
        <v>1.801851990409967E-2</v>
      </c>
      <c r="E51" s="80">
        <f>F34*D51</f>
        <v>158789.55398970417</v>
      </c>
      <c r="F51" s="490">
        <f>E51/0.33</f>
        <v>481180.46663546719</v>
      </c>
      <c r="G51" s="490"/>
      <c r="H51" s="490"/>
      <c r="I51" s="490"/>
      <c r="J51" s="19"/>
      <c r="K51" s="92"/>
      <c r="L51" s="18"/>
      <c r="M51" s="39"/>
      <c r="N51" s="18"/>
      <c r="O51" s="18"/>
      <c r="P51" s="18"/>
      <c r="Q51" s="18"/>
      <c r="R51" s="126"/>
      <c r="T51" s="123"/>
      <c r="U51" s="46"/>
      <c r="AV51" s="1"/>
    </row>
    <row r="52" spans="1:48">
      <c r="A52" s="18"/>
      <c r="B52" s="91" t="s">
        <v>228</v>
      </c>
      <c r="C52" s="82"/>
      <c r="D52" s="83"/>
      <c r="E52" s="129"/>
      <c r="F52" s="130"/>
      <c r="G52" s="130"/>
      <c r="H52" s="130"/>
      <c r="I52" s="130"/>
      <c r="J52" s="19"/>
      <c r="K52" s="92"/>
      <c r="L52" s="18"/>
      <c r="M52" s="39"/>
      <c r="N52" s="18"/>
      <c r="O52" s="18"/>
      <c r="P52" s="18"/>
      <c r="Q52" s="18"/>
      <c r="R52" s="18"/>
      <c r="T52" s="123" t="s">
        <v>234</v>
      </c>
      <c r="U52" s="46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AL52" s="87">
        <v>3128865.99</v>
      </c>
      <c r="AV52" s="1"/>
    </row>
    <row r="53" spans="1:48" ht="14.25">
      <c r="A53" s="18"/>
      <c r="C53" s="82"/>
      <c r="D53" s="83"/>
      <c r="E53" s="84"/>
      <c r="F53" s="486"/>
      <c r="G53" s="486"/>
      <c r="H53" s="85"/>
      <c r="I53" s="18"/>
      <c r="J53" s="19"/>
      <c r="K53" s="92"/>
      <c r="L53" s="18"/>
      <c r="M53" s="39"/>
      <c r="N53" s="18"/>
      <c r="O53" s="18"/>
      <c r="P53" s="18"/>
      <c r="Q53" s="18"/>
      <c r="R53" s="90"/>
      <c r="T53" s="123" t="s">
        <v>235</v>
      </c>
      <c r="U53" s="46">
        <f t="shared" ca="1" si="3"/>
        <v>46588</v>
      </c>
      <c r="AV53" s="1"/>
    </row>
    <row r="54" spans="1:48">
      <c r="A54" s="18"/>
      <c r="C54" s="88"/>
      <c r="D54" s="26"/>
      <c r="E54" s="18"/>
      <c r="F54" s="18"/>
      <c r="G54" s="18"/>
      <c r="H54" s="18"/>
      <c r="I54" s="18"/>
      <c r="J54" s="19"/>
      <c r="K54" s="92"/>
      <c r="L54" s="18"/>
      <c r="M54" s="39"/>
      <c r="N54" s="18"/>
      <c r="O54" s="18"/>
      <c r="P54" s="18"/>
      <c r="Q54" s="18"/>
      <c r="T54" s="123" t="s">
        <v>236</v>
      </c>
      <c r="U54" s="46">
        <f t="shared" ca="1" si="3"/>
        <v>46619</v>
      </c>
      <c r="AV54" s="1"/>
    </row>
    <row r="55" spans="1:48">
      <c r="A55" s="18"/>
      <c r="C55" s="18"/>
      <c r="D55" s="26"/>
      <c r="E55" s="18"/>
      <c r="F55" s="18"/>
      <c r="G55" s="18"/>
      <c r="H55" s="18"/>
      <c r="I55" s="18"/>
      <c r="J55" s="17"/>
      <c r="K55" s="92"/>
      <c r="L55" s="18"/>
      <c r="M55" s="39"/>
      <c r="N55" s="18"/>
      <c r="O55" s="18"/>
      <c r="P55" s="18"/>
      <c r="Q55" s="18"/>
      <c r="T55" s="123" t="s">
        <v>237</v>
      </c>
      <c r="U55" s="46">
        <f t="shared" ca="1" si="3"/>
        <v>46650</v>
      </c>
      <c r="AV55" s="1"/>
    </row>
    <row r="56" spans="1:48">
      <c r="A56" s="18"/>
      <c r="C56" s="88"/>
      <c r="D56" s="26"/>
      <c r="E56" s="18"/>
      <c r="F56" s="18"/>
      <c r="G56" s="18"/>
      <c r="H56" s="18"/>
      <c r="I56" s="18"/>
      <c r="J56" s="26"/>
      <c r="K56" s="92"/>
      <c r="L56" s="18"/>
      <c r="M56" s="39"/>
      <c r="N56" s="18"/>
      <c r="O56" s="18"/>
      <c r="P56" s="18"/>
      <c r="Q56" s="18"/>
      <c r="T56" s="123" t="s">
        <v>238</v>
      </c>
      <c r="U56" s="46">
        <f t="shared" ca="1" si="3"/>
        <v>46680</v>
      </c>
      <c r="AV56" s="1"/>
    </row>
    <row r="57" spans="1:48">
      <c r="A57" s="18"/>
      <c r="B57" s="93"/>
      <c r="C57" s="18"/>
      <c r="D57" s="18"/>
      <c r="E57" s="18"/>
      <c r="F57" s="18"/>
      <c r="G57" s="18"/>
      <c r="H57" s="18"/>
      <c r="I57" s="18"/>
      <c r="J57" s="26"/>
      <c r="K57" s="92"/>
      <c r="L57" s="18"/>
      <c r="M57" s="39"/>
      <c r="N57" s="18"/>
      <c r="O57" s="18"/>
      <c r="P57" s="18"/>
      <c r="Q57" s="18"/>
      <c r="T57" s="123" t="s">
        <v>239</v>
      </c>
      <c r="U57" s="137">
        <f t="shared" ca="1" si="3"/>
        <v>46711</v>
      </c>
      <c r="AV57" s="1"/>
    </row>
    <row r="58" spans="1:48">
      <c r="A58" s="18"/>
      <c r="J58" s="26"/>
      <c r="K58" s="19"/>
      <c r="L58" s="18"/>
      <c r="M58" s="18"/>
      <c r="N58" s="18"/>
      <c r="O58" s="19"/>
      <c r="P58" s="18"/>
      <c r="Q58" s="18"/>
      <c r="T58" s="123"/>
      <c r="U58" s="138"/>
      <c r="AH58" s="1"/>
      <c r="AU58" s="1"/>
      <c r="AV58" s="1"/>
    </row>
    <row r="59" spans="1:48">
      <c r="A59" s="18"/>
      <c r="J59" s="26"/>
      <c r="K59" s="18"/>
      <c r="L59" s="18"/>
      <c r="M59" s="26"/>
      <c r="N59" s="18"/>
      <c r="O59" s="18"/>
      <c r="P59" s="18"/>
      <c r="Q59" s="18"/>
      <c r="T59" s="123"/>
      <c r="U59" s="138"/>
      <c r="AH59" s="1"/>
      <c r="AU59" s="1"/>
      <c r="AV59" s="1"/>
    </row>
    <row r="60" spans="1:48" ht="15" customHeight="1">
      <c r="A60" s="18"/>
      <c r="J60" s="17"/>
      <c r="K60" s="18"/>
      <c r="L60" s="18"/>
      <c r="M60" s="26"/>
      <c r="N60" s="18"/>
      <c r="O60" s="18"/>
      <c r="P60" s="18"/>
      <c r="Q60" s="18"/>
      <c r="T60" s="132"/>
      <c r="U60" s="138"/>
      <c r="AH60" s="1"/>
      <c r="AU60" s="1"/>
      <c r="AV60" s="1"/>
    </row>
    <row r="61" spans="1:48">
      <c r="A61" s="18"/>
      <c r="J61" s="17"/>
      <c r="K61" s="484"/>
      <c r="L61" s="484"/>
      <c r="M61" s="484"/>
      <c r="N61" s="19"/>
      <c r="O61" s="484"/>
      <c r="P61" s="484"/>
      <c r="Q61" s="484"/>
      <c r="T61" s="132"/>
      <c r="U61" s="138"/>
      <c r="AH61" s="1"/>
      <c r="AU61" s="1"/>
      <c r="AV61" s="1"/>
    </row>
    <row r="62" spans="1:48" ht="15" customHeight="1">
      <c r="A62" s="18"/>
      <c r="J62" s="71"/>
      <c r="K62" s="18"/>
      <c r="L62" s="474"/>
      <c r="M62" s="474"/>
      <c r="N62" s="18"/>
      <c r="O62" s="485"/>
      <c r="P62" s="485"/>
      <c r="Q62" s="485"/>
      <c r="T62" s="123"/>
      <c r="U62" s="138"/>
      <c r="AH62" s="1"/>
      <c r="AU62" s="1"/>
      <c r="AV62" s="1"/>
    </row>
    <row r="63" spans="1:48">
      <c r="A63" s="18"/>
      <c r="J63" s="71"/>
      <c r="K63" s="92"/>
      <c r="L63" s="18"/>
      <c r="M63" s="84"/>
      <c r="N63" s="18"/>
      <c r="O63" s="18"/>
      <c r="P63" s="18"/>
      <c r="Q63" s="18"/>
      <c r="T63" s="123"/>
      <c r="U63" s="138"/>
      <c r="AH63" s="1"/>
      <c r="AU63" s="1"/>
      <c r="AV63" s="1"/>
    </row>
    <row r="64" spans="1:48" ht="15" customHeight="1">
      <c r="A64" s="18"/>
      <c r="J64" s="71"/>
      <c r="K64" s="92"/>
      <c r="L64" s="18"/>
      <c r="M64" s="84"/>
      <c r="N64" s="18"/>
      <c r="O64" s="18"/>
      <c r="P64" s="18"/>
      <c r="Q64" s="18"/>
      <c r="T64" s="123"/>
      <c r="U64" s="138"/>
      <c r="AH64" s="1"/>
      <c r="AU64" s="1"/>
      <c r="AV64" s="1"/>
    </row>
    <row r="65" spans="1:48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240</v>
      </c>
      <c r="U65" s="139">
        <f t="shared" si="3"/>
        <v>36</v>
      </c>
      <c r="AH65" s="1"/>
      <c r="AU65" s="1"/>
      <c r="AV65" s="1"/>
    </row>
    <row r="66" spans="1:48" ht="15" customHeight="1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241</v>
      </c>
      <c r="U66" s="46">
        <f>IF(AND(DAY(U65)&gt;=6,DAY(U65)&lt;=20),DATE(YEAR(U65),MONTH(U65)+1,DAY(20)),IF(AND(DAY(U65)&gt;=21,DAY(U65)&lt;=30),DATE(YEAR(U65),MONTH(U65)+1,IF(DAY(EOMONTH(U65,1))&lt;30,DAY(EOMONTH(U65,1)),DAY(30))),DATE(YEAR(U65),MONTH(U65)+1,DAY(5))))</f>
        <v>65</v>
      </c>
      <c r="AH66" s="1"/>
      <c r="AU66" s="1"/>
      <c r="AV66" s="1"/>
    </row>
    <row r="67" spans="1:48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242</v>
      </c>
      <c r="U67" s="46">
        <f t="shared" si="3"/>
        <v>96</v>
      </c>
      <c r="AH67" s="1"/>
      <c r="AU67" s="1"/>
      <c r="AV67" s="1"/>
    </row>
    <row r="68" spans="1:48" ht="15" customHeight="1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243</v>
      </c>
      <c r="U68" s="46">
        <f t="shared" si="3"/>
        <v>126</v>
      </c>
      <c r="AH68" s="1"/>
      <c r="AU68" s="1"/>
      <c r="AV68" s="1"/>
    </row>
    <row r="69" spans="1:48">
      <c r="A69" s="18"/>
      <c r="B69" s="482"/>
      <c r="C69" s="482"/>
      <c r="D69" s="482"/>
      <c r="E69" s="482"/>
      <c r="F69" s="482"/>
      <c r="G69" s="483"/>
      <c r="H69" s="483"/>
      <c r="I69" s="483"/>
      <c r="J69" s="18"/>
      <c r="K69" s="92"/>
      <c r="L69" s="18"/>
      <c r="M69" s="39"/>
      <c r="N69" s="18"/>
      <c r="O69" s="18"/>
      <c r="P69" s="18"/>
      <c r="Q69" s="18"/>
      <c r="T69" s="123" t="s">
        <v>244</v>
      </c>
      <c r="U69" s="46">
        <f t="shared" si="3"/>
        <v>157</v>
      </c>
      <c r="AH69" s="1"/>
      <c r="AU69" s="1"/>
      <c r="AV69" s="1"/>
    </row>
    <row r="70" spans="1:48" ht="12.75" customHeight="1">
      <c r="A70" s="18"/>
      <c r="B70" s="482"/>
      <c r="C70" s="482"/>
      <c r="D70" s="482"/>
      <c r="E70" s="482"/>
      <c r="F70" s="482"/>
      <c r="G70" s="483"/>
      <c r="H70" s="483"/>
      <c r="I70" s="483"/>
      <c r="J70" s="71"/>
      <c r="K70" s="92"/>
      <c r="L70" s="18"/>
      <c r="M70" s="39"/>
      <c r="N70" s="18"/>
      <c r="O70" s="18"/>
      <c r="P70" s="18"/>
      <c r="Q70" s="18"/>
      <c r="T70" s="123" t="s">
        <v>245</v>
      </c>
      <c r="U70" s="46">
        <f t="shared" si="3"/>
        <v>187</v>
      </c>
      <c r="AH70" s="1"/>
      <c r="AU70" s="1"/>
      <c r="AV70" s="1"/>
    </row>
    <row r="71" spans="1:48">
      <c r="A71" s="18"/>
      <c r="B71" s="482"/>
      <c r="C71" s="482"/>
      <c r="D71" s="482"/>
      <c r="E71" s="482"/>
      <c r="F71" s="482"/>
      <c r="G71" s="483"/>
      <c r="H71" s="483"/>
      <c r="I71" s="483"/>
      <c r="J71" s="71"/>
      <c r="K71" s="92"/>
      <c r="L71" s="18"/>
      <c r="M71" s="39"/>
      <c r="N71" s="18"/>
      <c r="O71" s="18"/>
      <c r="P71" s="18"/>
      <c r="Q71" s="18"/>
      <c r="T71" s="123" t="s">
        <v>246</v>
      </c>
      <c r="U71" s="46">
        <f t="shared" si="3"/>
        <v>218</v>
      </c>
      <c r="AH71" s="1"/>
      <c r="AU71" s="1"/>
      <c r="AV71" s="1"/>
    </row>
    <row r="72" spans="1:48">
      <c r="A72" s="18"/>
      <c r="B72" s="482"/>
      <c r="C72" s="482"/>
      <c r="D72" s="482"/>
      <c r="E72" s="482"/>
      <c r="F72" s="482"/>
      <c r="G72" s="483"/>
      <c r="H72" s="483"/>
      <c r="I72" s="483"/>
      <c r="J72" s="71"/>
      <c r="K72" s="92"/>
      <c r="L72" s="18"/>
      <c r="M72" s="39"/>
      <c r="N72" s="18"/>
      <c r="O72" s="18"/>
      <c r="P72" s="18"/>
      <c r="Q72" s="18"/>
      <c r="T72" s="123" t="s">
        <v>247</v>
      </c>
      <c r="U72" s="46">
        <f t="shared" si="3"/>
        <v>249</v>
      </c>
      <c r="AH72" s="1"/>
      <c r="AU72" s="1"/>
      <c r="AV72" s="1"/>
    </row>
    <row r="73" spans="1:48">
      <c r="A73" s="18"/>
      <c r="B73" s="93"/>
      <c r="C73" s="18"/>
      <c r="D73" s="18"/>
      <c r="E73" s="18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248</v>
      </c>
      <c r="U73" s="46">
        <f t="shared" si="3"/>
        <v>279</v>
      </c>
      <c r="AH73" s="1"/>
      <c r="AU73" s="1"/>
      <c r="AV73" s="1"/>
    </row>
    <row r="74" spans="1:48">
      <c r="A74" s="18"/>
      <c r="C74" s="93"/>
      <c r="D74" s="479"/>
      <c r="E74" s="480"/>
      <c r="F74" s="480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249</v>
      </c>
      <c r="U74" s="46">
        <f>IF(AND(DAY(U73)&gt;=6,DAY(U73)&lt;=20),DATE(YEAR(U73),MONTH(U73)+1,DAY(20)),IF(AND(DAY(U73)&gt;=21,DAY(U73)&lt;=30),DATE(YEAR(U73),MONTH(U73)+1,IF(DAY(EOMONTH(U73,1))&lt;30,DAY(EOMONTH(U73,1)),DAY(30))),DATE(YEAR(U73),MONTH(U73)+1,DAY(5))))</f>
        <v>310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T75" s="123" t="s">
        <v>250</v>
      </c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B77" s="93"/>
      <c r="C77" s="18"/>
      <c r="D77" s="94"/>
      <c r="E77" s="94"/>
      <c r="F77" s="18"/>
      <c r="G77" s="18"/>
      <c r="H77" s="18"/>
      <c r="I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>
      <c r="A78" s="18"/>
      <c r="B78" s="93"/>
      <c r="C78" s="18"/>
      <c r="D78" s="94"/>
      <c r="E78" s="94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B79" s="93"/>
      <c r="C79" s="18"/>
      <c r="D79" s="94"/>
      <c r="E79" s="94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26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26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26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 ht="12" customHeight="1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2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0.5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AH229" s="1"/>
      <c r="AU229" s="1"/>
      <c r="AV229" s="1"/>
    </row>
    <row r="230" spans="1:48" ht="12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AH230" s="1"/>
      <c r="AU230" s="1"/>
      <c r="AV230" s="1"/>
    </row>
    <row r="231" spans="1:48" ht="13.5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39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18"/>
      <c r="L232" s="18"/>
      <c r="M232" s="26"/>
      <c r="N232" s="18"/>
      <c r="O232" s="18"/>
      <c r="P232" s="18"/>
      <c r="Q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18"/>
      <c r="M233" s="26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8"/>
      <c r="L234" s="18"/>
      <c r="M234" s="26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81"/>
      <c r="L235" s="481"/>
      <c r="M235" s="481"/>
      <c r="N235" s="18"/>
      <c r="O235" s="18"/>
      <c r="P235" s="481"/>
      <c r="Q235" s="481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8"/>
      <c r="L236" s="474"/>
      <c r="M236" s="474"/>
      <c r="N236" s="18"/>
      <c r="O236" s="18"/>
      <c r="P236" s="18"/>
      <c r="Q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17"/>
      <c r="L237" s="18"/>
      <c r="M237" s="18"/>
      <c r="N237" s="18"/>
      <c r="O237" s="18"/>
      <c r="P237" s="18"/>
      <c r="Q237" s="18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9"/>
      <c r="L238" s="18"/>
      <c r="M238" s="18"/>
      <c r="N238" s="18"/>
      <c r="O238" s="18"/>
      <c r="P238" s="18"/>
      <c r="Q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7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93"/>
      <c r="C244" s="18"/>
      <c r="D244" s="18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93"/>
      <c r="C245" s="18"/>
      <c r="D245" s="18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93"/>
      <c r="C246" s="18"/>
      <c r="D246" s="18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26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26"/>
      <c r="E249" s="18"/>
      <c r="F249" s="18"/>
      <c r="G249" s="18"/>
      <c r="H249" s="18"/>
      <c r="I249" s="18"/>
      <c r="J249" s="71"/>
      <c r="K249" s="4"/>
      <c r="L249" s="1"/>
      <c r="AH249" s="1"/>
      <c r="AU249" s="1"/>
      <c r="AV249" s="1"/>
    </row>
    <row r="250" spans="1:48" ht="12" customHeight="1">
      <c r="A250" s="18"/>
      <c r="B250" s="18"/>
      <c r="C250" s="18"/>
      <c r="D250" s="26"/>
      <c r="E250" s="18"/>
      <c r="F250" s="18"/>
      <c r="G250" s="18"/>
      <c r="H250" s="18"/>
      <c r="I250" s="18"/>
      <c r="J250" s="18"/>
      <c r="K250" s="4"/>
      <c r="L250" s="1"/>
      <c r="AH250" s="1"/>
      <c r="AU250" s="1"/>
      <c r="AV250" s="1"/>
    </row>
    <row r="251" spans="1:48" ht="12" customHeight="1">
      <c r="B251" s="18"/>
      <c r="C251" s="18"/>
      <c r="D251" s="18"/>
      <c r="E251" s="18"/>
      <c r="F251" s="26"/>
      <c r="G251" s="26"/>
      <c r="H251" s="26"/>
      <c r="I251" s="26"/>
      <c r="J251" s="18"/>
      <c r="K251" s="4"/>
      <c r="L251" s="1"/>
      <c r="AH251" s="1"/>
      <c r="AU251" s="1"/>
      <c r="AV251" s="1"/>
    </row>
    <row r="252" spans="1:48" ht="12" customHeight="1">
      <c r="A252" s="95" t="e">
        <f>(F15-#REF!)*12%</f>
        <v>#REF!</v>
      </c>
      <c r="B252" s="18"/>
      <c r="C252" s="18"/>
      <c r="D252" s="18"/>
      <c r="E252" s="18"/>
      <c r="F252" s="18"/>
      <c r="G252" s="18"/>
      <c r="H252" s="18"/>
      <c r="I252" s="18"/>
      <c r="J252" s="18"/>
      <c r="K252" s="4"/>
      <c r="L252" s="1"/>
      <c r="AH252" s="1"/>
      <c r="AU252" s="1"/>
      <c r="AV252" s="1"/>
    </row>
    <row r="253" spans="1:48" ht="12" customHeight="1">
      <c r="A253" s="96"/>
      <c r="B253" s="18"/>
      <c r="C253" s="18"/>
      <c r="D253" s="97"/>
      <c r="E253" s="98"/>
      <c r="F253" s="98"/>
      <c r="G253" s="98"/>
      <c r="H253" s="98"/>
      <c r="I253" s="17"/>
      <c r="J253" s="18"/>
      <c r="AH253" s="1"/>
      <c r="AU253" s="1"/>
      <c r="AV253" s="1"/>
    </row>
    <row r="254" spans="1:48" ht="17.25" customHeight="1">
      <c r="B254" s="18"/>
      <c r="C254" s="18"/>
      <c r="D254" s="97"/>
      <c r="E254" s="98"/>
      <c r="F254" s="98"/>
      <c r="G254" s="98"/>
      <c r="H254" s="98"/>
      <c r="I254" s="19"/>
      <c r="J254" s="18"/>
      <c r="AH254" s="1"/>
      <c r="AU254" s="1"/>
      <c r="AV254" s="1"/>
    </row>
    <row r="255" spans="1:48" ht="15.75" customHeight="1">
      <c r="B255" s="95"/>
      <c r="D255" s="99"/>
      <c r="E255" s="100"/>
      <c r="F255" s="100"/>
      <c r="G255" s="100"/>
      <c r="H255" s="100"/>
      <c r="I255" s="17"/>
      <c r="J255" s="18"/>
      <c r="AH255" s="1"/>
      <c r="AU255" s="1"/>
      <c r="AV255" s="1"/>
    </row>
    <row r="256" spans="1:48" ht="12.75" customHeight="1">
      <c r="D256" s="99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J257" s="18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4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7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9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J263" s="17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1"/>
      <c r="AE396" s="102"/>
      <c r="AF396" s="101"/>
      <c r="AH396" s="1"/>
      <c r="AU396" s="1"/>
      <c r="AV396" s="1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2"/>
      <c r="AH397" s="104"/>
      <c r="AI397" s="105"/>
      <c r="AJ397" s="106"/>
      <c r="AK397" s="107"/>
      <c r="AL397" s="107"/>
      <c r="AM397" s="108"/>
      <c r="AN397" s="109"/>
      <c r="AO397" s="107"/>
      <c r="AP397" s="107"/>
      <c r="AQ397" s="110">
        <v>20000</v>
      </c>
      <c r="AR397" s="107"/>
      <c r="AS397" s="101">
        <v>24</v>
      </c>
      <c r="AT397" s="111"/>
      <c r="AU397" s="112"/>
      <c r="AV397" s="111"/>
      <c r="AW397" s="107"/>
      <c r="AX397" s="107"/>
      <c r="AY397" s="107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>
        <v>15000</v>
      </c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103"/>
      <c r="AE405" s="103"/>
      <c r="AF405" s="101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G406" s="103"/>
      <c r="AH406" s="113"/>
      <c r="AI406" s="114"/>
      <c r="AJ406" s="115"/>
      <c r="AK406" s="110"/>
      <c r="AL406" s="110"/>
      <c r="AM406" s="116"/>
      <c r="AN406" s="117"/>
      <c r="AO406" s="110"/>
      <c r="AP406" s="110"/>
      <c r="AQ406" s="110"/>
      <c r="AR406" s="110"/>
      <c r="AS406" s="103"/>
      <c r="AT406" s="118"/>
      <c r="AU406" s="119"/>
      <c r="AV406" s="118"/>
      <c r="AW406" s="110"/>
      <c r="AX406" s="110"/>
      <c r="AY406" s="110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D413" s="4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  <c r="AQ414" s="96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  <c r="AH421" s="12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2.75" customHeight="1">
      <c r="D754" s="99"/>
      <c r="E754" s="100"/>
      <c r="F754" s="100"/>
      <c r="G754" s="100"/>
      <c r="H754" s="100"/>
    </row>
    <row r="755" spans="4:8" ht="13.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</row>
    <row r="782" spans="4:28" ht="12.75" customHeight="1">
      <c r="D782" s="99"/>
      <c r="E782" s="100"/>
      <c r="F782" s="100"/>
      <c r="G782" s="100"/>
      <c r="H782" s="100"/>
      <c r="AB782" s="9">
        <v>1</v>
      </c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E792" s="100"/>
      <c r="F792" s="100"/>
      <c r="G792" s="100"/>
      <c r="H792" s="100"/>
    </row>
    <row r="793" spans="4:8" ht="12.75" customHeight="1">
      <c r="D793" s="99"/>
      <c r="E793" s="100"/>
      <c r="F793" s="100"/>
      <c r="G793" s="100"/>
      <c r="H793" s="100"/>
    </row>
    <row r="794" spans="4:8" ht="12.75" customHeight="1">
      <c r="D794" s="99"/>
      <c r="E794" s="100"/>
      <c r="F794" s="100"/>
      <c r="G794" s="100"/>
      <c r="H794" s="100"/>
    </row>
    <row r="795" spans="4:8" ht="12.75" customHeight="1">
      <c r="D795" s="99"/>
      <c r="F795" s="100"/>
      <c r="G795" s="100"/>
      <c r="H795" s="100"/>
    </row>
    <row r="796" spans="4:8" ht="12.75" customHeight="1">
      <c r="D796" s="99"/>
      <c r="F796" s="100"/>
      <c r="G796" s="100"/>
      <c r="H796" s="100"/>
    </row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.75" customHeight="1"/>
    <row r="805" ht="12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</sheetData>
  <sheetProtection algorithmName="SHA-512" hashValue="9uLSu98oWoijhQ1uknHlJwUGG+atFeeWHgA5as6qJa4KOllV4gWgc7APohugj4llJpJ3h01j6j9NwgNpQb0pSQ==" saltValue="/5bK00GbvmJPBw8mNPUvXw==" spinCount="100000" sheet="1" objects="1" scenarios="1"/>
  <mergeCells count="126">
    <mergeCell ref="B71:C72"/>
    <mergeCell ref="D71:F72"/>
    <mergeCell ref="G71:I72"/>
    <mergeCell ref="D74:F74"/>
    <mergeCell ref="K235:M235"/>
    <mergeCell ref="P235:Q235"/>
    <mergeCell ref="L236:M236"/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K10:L10"/>
    <mergeCell ref="N10:Q10"/>
    <mergeCell ref="E7:I7"/>
    <mergeCell ref="K7:L7"/>
    <mergeCell ref="N7:Q7"/>
    <mergeCell ref="E8:I8"/>
    <mergeCell ref="K8:L8"/>
    <mergeCell ref="N8:Q8"/>
    <mergeCell ref="E10:F10"/>
    <mergeCell ref="G10:I10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K20:L20"/>
    <mergeCell ref="N20:O20"/>
    <mergeCell ref="P20:Q20"/>
    <mergeCell ref="F20:I20"/>
    <mergeCell ref="K19:L19"/>
    <mergeCell ref="N19:O19"/>
    <mergeCell ref="P19:Q19"/>
    <mergeCell ref="W18:X18"/>
    <mergeCell ref="W19:X19"/>
    <mergeCell ref="W20:X20"/>
    <mergeCell ref="K21:L21"/>
    <mergeCell ref="N21:O21"/>
    <mergeCell ref="P21:Q21"/>
    <mergeCell ref="F23:I23"/>
    <mergeCell ref="K22:L22"/>
    <mergeCell ref="N22:O22"/>
    <mergeCell ref="P22:Q22"/>
    <mergeCell ref="B26:C26"/>
    <mergeCell ref="H26:I26"/>
    <mergeCell ref="K25:L25"/>
    <mergeCell ref="N25:O25"/>
    <mergeCell ref="K23:L23"/>
    <mergeCell ref="N23:O23"/>
    <mergeCell ref="P23:Q23"/>
    <mergeCell ref="F25:I25"/>
    <mergeCell ref="K24:L24"/>
    <mergeCell ref="N24:O24"/>
    <mergeCell ref="F21:I21"/>
    <mergeCell ref="B30:C30"/>
    <mergeCell ref="F30:I30"/>
    <mergeCell ref="B32:C32"/>
    <mergeCell ref="F32:I32"/>
    <mergeCell ref="F28:I28"/>
    <mergeCell ref="K28:L28"/>
    <mergeCell ref="N28:O28"/>
    <mergeCell ref="K26:L26"/>
    <mergeCell ref="N26:O26"/>
    <mergeCell ref="K27:L27"/>
    <mergeCell ref="N27:O27"/>
    <mergeCell ref="K29:L29"/>
    <mergeCell ref="N29:O29"/>
    <mergeCell ref="K30:L30"/>
    <mergeCell ref="N30:O30"/>
    <mergeCell ref="P30:Q30"/>
    <mergeCell ref="F38:I38"/>
    <mergeCell ref="F39:I39"/>
    <mergeCell ref="F34:I34"/>
    <mergeCell ref="K33:L33"/>
    <mergeCell ref="N33:O33"/>
    <mergeCell ref="F40:I40"/>
    <mergeCell ref="F41:I41"/>
    <mergeCell ref="F42:I42"/>
    <mergeCell ref="K41:M41"/>
    <mergeCell ref="B65:C66"/>
    <mergeCell ref="D65:F66"/>
    <mergeCell ref="G65:I66"/>
    <mergeCell ref="B67:C68"/>
    <mergeCell ref="D67:F68"/>
    <mergeCell ref="G67:I68"/>
    <mergeCell ref="B69:C70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</mergeCell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6B47D-D6D4-4172-BD96-9571A9499532}">
  <sheetPr codeName="Sheet6"/>
  <dimension ref="A1:AY870"/>
  <sheetViews>
    <sheetView zoomScale="90" zoomScaleNormal="90" workbookViewId="0">
      <selection activeCell="E23" sqref="E23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customWidth="1"/>
    <col min="21" max="22" width="11.42578125" style="1" customWidth="1"/>
    <col min="23" max="24" width="8.85546875" style="1" customWidth="1"/>
    <col min="25" max="25" width="11.28515625" style="1" customWidth="1"/>
    <col min="26" max="26" width="8.85546875" style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39" t="s">
        <v>252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San Diego Unit C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e">
        <f>'Pricelist Standard'!#REF!</f>
        <v>#REF!</v>
      </c>
      <c r="F10" s="543"/>
      <c r="G10" s="543" t="e">
        <f>'Pricelist Standard'!#REF!</f>
        <v>#REF!</v>
      </c>
      <c r="H10" s="533"/>
      <c r="I10" s="534"/>
      <c r="J10" s="17"/>
      <c r="K10" s="535" t="s">
        <v>169</v>
      </c>
      <c r="L10" s="535"/>
      <c r="M10" s="29" t="s">
        <v>73</v>
      </c>
      <c r="N10" s="536" t="e">
        <f t="shared" si="0"/>
        <v>#REF!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 t="e">
        <f>'Pricelist Standard'!#REF!</f>
        <v>#REF!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 t="e">
        <f t="shared" si="0"/>
        <v>#REF!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 t="e">
        <f>'Pricelist Standard'!#REF!</f>
        <v>#REF!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 t="e">
        <f t="shared" si="0"/>
        <v>#REF!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 t="e">
        <f>'Pricelist Standard'!#REF!</f>
        <v>#REF!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43"/>
      <c r="F16" s="551">
        <v>0</v>
      </c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41"/>
      <c r="F17" s="526" t="e">
        <f>F15-F16</f>
        <v>#REF!</v>
      </c>
      <c r="G17" s="526"/>
      <c r="H17" s="526"/>
      <c r="I17" s="527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EDATE(U17,E30)</f>
        <v>#REF!</v>
      </c>
    </row>
    <row r="18" spans="1:48" ht="14.25">
      <c r="A18" s="18"/>
      <c r="B18" s="142" t="s">
        <v>180</v>
      </c>
      <c r="C18" s="45"/>
      <c r="D18" s="17"/>
      <c r="E18" s="145"/>
      <c r="F18" s="150" t="e">
        <f>F17/E11</f>
        <v>#REF!</v>
      </c>
      <c r="G18" s="146"/>
      <c r="H18" s="146"/>
      <c r="I18" s="147"/>
      <c r="J18" s="19"/>
      <c r="K18" s="501" t="e">
        <f>IF(N18="","",T18)</f>
        <v>#REF!</v>
      </c>
      <c r="L18" s="501"/>
      <c r="M18" s="46" t="e">
        <f>IF(N18="","",U18)</f>
        <v>#REF!</v>
      </c>
      <c r="N18" s="502" t="e">
        <f>IF($E$30&gt;0,$F$30,"")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4.25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1" t="e">
        <f t="shared" ref="K19:K29" si="1">IF(N19="","",T19)</f>
        <v>#REF!</v>
      </c>
      <c r="L19" s="501"/>
      <c r="M19" s="46" t="e">
        <f t="shared" ref="M19:M29" si="2">IF(N19="","",U19)</f>
        <v>#REF!</v>
      </c>
      <c r="N19" s="502" t="e">
        <f>IF($E$30&gt;1,$F$30,"")</f>
        <v>#REF!</v>
      </c>
      <c r="O19" s="503"/>
      <c r="P19" s="504"/>
      <c r="Q19" s="505"/>
      <c r="T19" s="140" t="s">
        <v>183</v>
      </c>
      <c r="U19" s="46">
        <f t="shared" ref="U19:U73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4.25">
      <c r="A20" s="30"/>
      <c r="B20" s="28" t="s">
        <v>185</v>
      </c>
      <c r="C20" s="28"/>
      <c r="D20" s="42" t="s">
        <v>73</v>
      </c>
      <c r="E20" s="50">
        <f>'Pricelist Standard'!AE7</f>
        <v>0</v>
      </c>
      <c r="F20" s="551" t="e">
        <f>F15*E20</f>
        <v>#REF!</v>
      </c>
      <c r="G20" s="551"/>
      <c r="H20" s="551"/>
      <c r="I20" s="552"/>
      <c r="J20" s="19"/>
      <c r="K20" s="501" t="e">
        <f t="shared" si="1"/>
        <v>#REF!</v>
      </c>
      <c r="L20" s="501"/>
      <c r="M20" s="46" t="e">
        <f t="shared" si="2"/>
        <v>#REF!</v>
      </c>
      <c r="N20" s="502" t="e">
        <f>IF($E$30&gt;2,$F$30,"")</f>
        <v>#REF!</v>
      </c>
      <c r="O20" s="503"/>
      <c r="P20" s="504"/>
      <c r="Q20" s="505"/>
      <c r="T20" s="140" t="s">
        <v>186</v>
      </c>
      <c r="U20" s="46">
        <f t="shared" ca="1" si="3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151">
        <v>3.5000000000000003E-2</v>
      </c>
      <c r="F21" s="548" t="e">
        <f>E21*F15</f>
        <v>#REF!</v>
      </c>
      <c r="G21" s="549"/>
      <c r="H21" s="549"/>
      <c r="I21" s="550"/>
      <c r="J21" s="19"/>
      <c r="K21" s="501" t="e">
        <f t="shared" si="1"/>
        <v>#REF!</v>
      </c>
      <c r="L21" s="501"/>
      <c r="M21" s="46" t="e">
        <f t="shared" si="2"/>
        <v>#REF!</v>
      </c>
      <c r="N21" s="502" t="e">
        <f>IF($E$30&gt;3,$F$30,"")</f>
        <v>#REF!</v>
      </c>
      <c r="O21" s="503"/>
      <c r="P21" s="504"/>
      <c r="Q21" s="505"/>
      <c r="T21" s="140" t="s">
        <v>189</v>
      </c>
      <c r="U21" s="46">
        <f t="shared" ca="1" si="3"/>
        <v>45981</v>
      </c>
      <c r="Y21" s="136"/>
      <c r="AV21" s="1"/>
    </row>
    <row r="22" spans="1:48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1" t="e">
        <f t="shared" si="1"/>
        <v>#REF!</v>
      </c>
      <c r="L22" s="501"/>
      <c r="M22" s="46" t="e">
        <f t="shared" si="2"/>
        <v>#REF!</v>
      </c>
      <c r="N22" s="502" t="e">
        <f>IF($E$30&gt;4,$F$30,"")</f>
        <v>#REF!</v>
      </c>
      <c r="O22" s="503"/>
      <c r="P22" s="504"/>
      <c r="Q22" s="505"/>
      <c r="T22" s="140" t="s">
        <v>190</v>
      </c>
      <c r="U22" s="46">
        <f t="shared" ca="1" si="3"/>
        <v>46011</v>
      </c>
      <c r="AV22" s="1"/>
    </row>
    <row r="23" spans="1:48">
      <c r="A23" s="18"/>
      <c r="B23" s="44" t="s">
        <v>17</v>
      </c>
      <c r="C23" s="45"/>
      <c r="D23" s="17" t="s">
        <v>73</v>
      </c>
      <c r="E23" s="51"/>
      <c r="F23" s="476" t="e">
        <f>F17+F20+F21</f>
        <v>#REF!</v>
      </c>
      <c r="G23" s="477"/>
      <c r="H23" s="477"/>
      <c r="I23" s="478"/>
      <c r="J23" s="19"/>
      <c r="K23" s="501" t="e">
        <f t="shared" si="1"/>
        <v>#REF!</v>
      </c>
      <c r="L23" s="501"/>
      <c r="M23" s="46" t="e">
        <f t="shared" si="2"/>
        <v>#REF!</v>
      </c>
      <c r="N23" s="502" t="e">
        <f>IF($E$30&gt;5,$F$30,"")</f>
        <v>#REF!</v>
      </c>
      <c r="O23" s="503"/>
      <c r="P23" s="504"/>
      <c r="Q23" s="505"/>
      <c r="T23" s="140" t="s">
        <v>191</v>
      </c>
      <c r="U23" s="46">
        <f t="shared" ca="1" si="3"/>
        <v>46042</v>
      </c>
      <c r="AV23" s="1"/>
    </row>
    <row r="24" spans="1:48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1" t="e">
        <f t="shared" si="1"/>
        <v>#REF!</v>
      </c>
      <c r="L24" s="501"/>
      <c r="M24" s="46" t="e">
        <f t="shared" si="2"/>
        <v>#REF!</v>
      </c>
      <c r="N24" s="502" t="e">
        <f>IF($E$30&gt;6,$F$30,"")</f>
        <v>#REF!</v>
      </c>
      <c r="O24" s="503"/>
      <c r="P24" s="127"/>
      <c r="Q24" s="128"/>
      <c r="T24" s="140" t="s">
        <v>192</v>
      </c>
      <c r="U24" s="46">
        <f t="shared" ca="1" si="3"/>
        <v>46073</v>
      </c>
      <c r="AV24" s="1"/>
    </row>
    <row r="25" spans="1:48">
      <c r="A25" s="18"/>
      <c r="B25" s="24" t="s">
        <v>193</v>
      </c>
      <c r="C25" s="25"/>
      <c r="D25" s="40" t="s">
        <v>73</v>
      </c>
      <c r="E25" s="56">
        <f>'SPC San Diego B'!E25</f>
        <v>0.05</v>
      </c>
      <c r="F25" s="476" t="e">
        <f>F23*E25</f>
        <v>#REF!</v>
      </c>
      <c r="G25" s="477"/>
      <c r="H25" s="477"/>
      <c r="I25" s="478"/>
      <c r="J25" s="19"/>
      <c r="K25" s="501" t="e">
        <f t="shared" si="1"/>
        <v>#REF!</v>
      </c>
      <c r="L25" s="501"/>
      <c r="M25" s="46" t="e">
        <f t="shared" si="2"/>
        <v>#REF!</v>
      </c>
      <c r="N25" s="502" t="e">
        <f>IF($E$30&gt;7,$F$30,"")</f>
        <v>#REF!</v>
      </c>
      <c r="O25" s="503"/>
      <c r="P25" s="127"/>
      <c r="Q25" s="128"/>
      <c r="T25" s="140" t="s">
        <v>194</v>
      </c>
      <c r="U25" s="46">
        <f t="shared" ca="1" si="3"/>
        <v>46101</v>
      </c>
      <c r="AV25" s="1"/>
    </row>
    <row r="26" spans="1:48">
      <c r="A26" s="18"/>
      <c r="B26" s="498" t="s">
        <v>195</v>
      </c>
      <c r="C26" s="498"/>
      <c r="D26" s="42" t="str">
        <f>D25</f>
        <v>:</v>
      </c>
      <c r="E26" s="57"/>
      <c r="F26" s="58"/>
      <c r="G26" s="58"/>
      <c r="H26" s="499"/>
      <c r="I26" s="500"/>
      <c r="J26" s="19"/>
      <c r="K26" s="501" t="e">
        <f t="shared" si="1"/>
        <v>#REF!</v>
      </c>
      <c r="L26" s="501"/>
      <c r="M26" s="46" t="e">
        <f t="shared" si="2"/>
        <v>#REF!</v>
      </c>
      <c r="N26" s="502" t="e">
        <f>IF($E$30&gt;8,$F$30,"")</f>
        <v>#REF!</v>
      </c>
      <c r="O26" s="503"/>
      <c r="P26" s="127"/>
      <c r="Q26" s="128"/>
      <c r="T26" s="140" t="s">
        <v>196</v>
      </c>
      <c r="U26" s="46">
        <f t="shared" ca="1" si="3"/>
        <v>46132</v>
      </c>
      <c r="AV26" s="1"/>
    </row>
    <row r="27" spans="1:48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1" t="e">
        <f t="shared" si="1"/>
        <v>#REF!</v>
      </c>
      <c r="L27" s="501"/>
      <c r="M27" s="46" t="e">
        <f t="shared" si="2"/>
        <v>#REF!</v>
      </c>
      <c r="N27" s="502" t="e">
        <f>IF($E$30&gt;9,$F$30,"")</f>
        <v>#REF!</v>
      </c>
      <c r="O27" s="503"/>
      <c r="P27" s="127"/>
      <c r="Q27" s="128"/>
      <c r="T27" s="140" t="s">
        <v>198</v>
      </c>
      <c r="U27" s="46">
        <f t="shared" ca="1" si="3"/>
        <v>46162</v>
      </c>
      <c r="AV27" s="1"/>
    </row>
    <row r="28" spans="1:48">
      <c r="A28" s="18"/>
      <c r="B28" s="44" t="s">
        <v>199</v>
      </c>
      <c r="C28" s="45"/>
      <c r="D28" s="17" t="s">
        <v>73</v>
      </c>
      <c r="E28" s="59"/>
      <c r="F28" s="476" t="e">
        <f>F25-F26-F27</f>
        <v>#REF!</v>
      </c>
      <c r="G28" s="477"/>
      <c r="H28" s="477"/>
      <c r="I28" s="478"/>
      <c r="J28" s="19"/>
      <c r="K28" s="501" t="e">
        <f t="shared" si="1"/>
        <v>#REF!</v>
      </c>
      <c r="L28" s="501"/>
      <c r="M28" s="46" t="e">
        <f t="shared" si="2"/>
        <v>#REF!</v>
      </c>
      <c r="N28" s="502" t="e">
        <f>IF($E$30&gt;10,$F$30,"")</f>
        <v>#REF!</v>
      </c>
      <c r="O28" s="503"/>
      <c r="P28" s="127"/>
      <c r="Q28" s="128"/>
      <c r="T28" s="140" t="s">
        <v>200</v>
      </c>
      <c r="U28" s="46">
        <f t="shared" ca="1" si="3"/>
        <v>46193</v>
      </c>
      <c r="AV28" s="1"/>
    </row>
    <row r="29" spans="1:48">
      <c r="A29" s="18"/>
      <c r="B29" s="35"/>
      <c r="C29" s="20"/>
      <c r="D29" s="26"/>
      <c r="E29" s="17"/>
      <c r="F29" s="47"/>
      <c r="G29" s="54"/>
      <c r="H29" s="54"/>
      <c r="I29" s="54"/>
      <c r="J29" s="19"/>
      <c r="K29" s="501" t="e">
        <f t="shared" si="1"/>
        <v>#REF!</v>
      </c>
      <c r="L29" s="501"/>
      <c r="M29" s="46" t="e">
        <f t="shared" si="2"/>
        <v>#REF!</v>
      </c>
      <c r="N29" s="490" t="e">
        <f>IF($E$30&gt;11,$F$30,"")</f>
        <v>#REF!</v>
      </c>
      <c r="O29" s="490"/>
      <c r="P29" s="127"/>
      <c r="Q29" s="128"/>
      <c r="T29" s="140" t="s">
        <v>201</v>
      </c>
      <c r="U29" s="46">
        <f t="shared" ca="1" si="3"/>
        <v>46223</v>
      </c>
      <c r="AV29" s="1"/>
    </row>
    <row r="30" spans="1:48">
      <c r="A30" s="64"/>
      <c r="B30" s="475" t="s">
        <v>202</v>
      </c>
      <c r="C30" s="475"/>
      <c r="D30" s="17" t="s">
        <v>73</v>
      </c>
      <c r="E30" s="141" t="e">
        <f>'Pricelist Standard'!#REF!</f>
        <v>#REF!</v>
      </c>
      <c r="F30" s="476" t="e">
        <f>F28/E30</f>
        <v>#REF!</v>
      </c>
      <c r="G30" s="477"/>
      <c r="H30" s="477"/>
      <c r="I30" s="478"/>
      <c r="J30" s="19"/>
      <c r="K30" s="492" t="s">
        <v>203</v>
      </c>
      <c r="L30" s="492"/>
      <c r="M30" s="46" t="e">
        <f>IF(N30&gt;1,U30,"")</f>
        <v>#REF!</v>
      </c>
      <c r="N30" s="493" t="e">
        <f>F34</f>
        <v>#REF!</v>
      </c>
      <c r="O30" s="493"/>
      <c r="P30" s="494"/>
      <c r="Q30" s="495"/>
      <c r="T30" s="123" t="s">
        <v>204</v>
      </c>
      <c r="U30" s="46">
        <f t="shared" ca="1" si="3"/>
        <v>46254</v>
      </c>
      <c r="AV30" s="1"/>
    </row>
    <row r="31" spans="1:48" hidden="1">
      <c r="A31" s="18"/>
      <c r="B31" s="20"/>
      <c r="C31" s="35"/>
      <c r="D31" s="26"/>
      <c r="E31" s="65"/>
      <c r="F31" s="47"/>
      <c r="G31" s="47"/>
      <c r="H31" s="47"/>
      <c r="I31" s="47"/>
      <c r="J31" s="19"/>
      <c r="K31" s="17"/>
      <c r="L31" s="17"/>
      <c r="M31" s="68"/>
      <c r="N31" s="121"/>
      <c r="O31" s="121"/>
      <c r="P31" s="122"/>
      <c r="Q31" s="122"/>
      <c r="T31" s="123"/>
      <c r="U31" s="46"/>
      <c r="AV31" s="1"/>
    </row>
    <row r="32" spans="1:48" hidden="1">
      <c r="A32" s="18"/>
      <c r="B32" s="475" t="s">
        <v>205</v>
      </c>
      <c r="C32" s="475"/>
      <c r="D32" s="17" t="s">
        <v>73</v>
      </c>
      <c r="E32" s="124">
        <v>0</v>
      </c>
      <c r="F32" s="476" t="e">
        <f>F23*E32</f>
        <v>#REF!</v>
      </c>
      <c r="G32" s="477"/>
      <c r="H32" s="477"/>
      <c r="I32" s="478"/>
      <c r="J32" s="19"/>
      <c r="K32" s="17"/>
      <c r="L32" s="17"/>
      <c r="M32" s="68"/>
      <c r="N32" s="121" t="e">
        <f>SUM(N17:O31)</f>
        <v>#REF!</v>
      </c>
      <c r="O32" s="121"/>
      <c r="P32" s="122"/>
      <c r="Q32" s="122"/>
      <c r="T32" s="123"/>
      <c r="U32" s="46"/>
      <c r="AV32" s="1"/>
    </row>
    <row r="33" spans="1:48">
      <c r="A33" s="18"/>
      <c r="B33" s="20"/>
      <c r="C33" s="35"/>
      <c r="D33" s="26"/>
      <c r="E33" s="65"/>
      <c r="F33" s="47"/>
      <c r="G33" s="47"/>
      <c r="H33" s="47"/>
      <c r="I33" s="47"/>
      <c r="J33" s="19"/>
      <c r="K33" s="496"/>
      <c r="L33" s="496"/>
      <c r="M33" s="68"/>
      <c r="N33" s="497"/>
      <c r="O33" s="497"/>
      <c r="P33" s="69"/>
      <c r="Q33" s="19"/>
      <c r="T33" s="123" t="s">
        <v>206</v>
      </c>
      <c r="U33" s="46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AV33" s="1"/>
    </row>
    <row r="34" spans="1:48">
      <c r="A34" s="18"/>
      <c r="B34" s="44" t="s">
        <v>207</v>
      </c>
      <c r="C34" s="44"/>
      <c r="D34" s="17" t="s">
        <v>73</v>
      </c>
      <c r="E34" s="67">
        <f>100%-E25-E32</f>
        <v>0.95</v>
      </c>
      <c r="F34" s="476" t="e">
        <f>F23*E34</f>
        <v>#REF!</v>
      </c>
      <c r="G34" s="477"/>
      <c r="H34" s="477"/>
      <c r="I34" s="478"/>
      <c r="J34" s="19"/>
      <c r="T34" s="123" t="s">
        <v>208</v>
      </c>
      <c r="U34" s="46">
        <f t="shared" ca="1" si="3"/>
        <v>46315</v>
      </c>
      <c r="AV34" s="1"/>
    </row>
    <row r="35" spans="1:48">
      <c r="A35" s="18"/>
      <c r="B35" s="20"/>
      <c r="C35" s="35"/>
      <c r="D35" s="65"/>
      <c r="E35" s="65"/>
      <c r="F35" s="65"/>
      <c r="G35" s="70"/>
      <c r="H35" s="70"/>
      <c r="I35" s="70"/>
      <c r="J35" s="17"/>
      <c r="T35" s="123" t="s">
        <v>209</v>
      </c>
      <c r="U35" s="46">
        <f t="shared" ca="1" si="3"/>
        <v>46346</v>
      </c>
      <c r="AV35" s="1"/>
    </row>
    <row r="36" spans="1:48">
      <c r="A36" s="18"/>
      <c r="B36" s="45" t="s">
        <v>210</v>
      </c>
      <c r="C36" s="44"/>
      <c r="D36" s="71"/>
      <c r="E36" s="72"/>
      <c r="F36" s="73"/>
      <c r="G36" s="70"/>
      <c r="H36" s="70"/>
      <c r="I36" s="70"/>
      <c r="J36" s="17"/>
      <c r="T36" s="123" t="s">
        <v>211</v>
      </c>
      <c r="U36" s="46">
        <f t="shared" ca="1" si="3"/>
        <v>46376</v>
      </c>
      <c r="AV36" s="1"/>
    </row>
    <row r="37" spans="1:48">
      <c r="A37" s="18"/>
      <c r="B37" s="18"/>
      <c r="C37" s="74"/>
      <c r="D37" s="74"/>
      <c r="E37" s="75"/>
      <c r="F37" s="71"/>
      <c r="G37" s="71"/>
      <c r="H37" s="71"/>
      <c r="I37" s="71"/>
      <c r="J37" s="74"/>
      <c r="K37" s="74"/>
      <c r="L37" s="74"/>
      <c r="M37" s="74"/>
      <c r="N37" s="74"/>
      <c r="O37" s="74"/>
      <c r="P37" s="74"/>
      <c r="Q37" s="74"/>
      <c r="R37" s="74"/>
      <c r="T37" s="123" t="s">
        <v>212</v>
      </c>
      <c r="U37" s="46">
        <f t="shared" ca="1" si="3"/>
        <v>46407</v>
      </c>
      <c r="AV37" s="1"/>
    </row>
    <row r="38" spans="1:48">
      <c r="A38" s="18"/>
      <c r="B38" s="76" t="s">
        <v>213</v>
      </c>
      <c r="C38" s="76" t="s">
        <v>214</v>
      </c>
      <c r="D38" s="76" t="s">
        <v>215</v>
      </c>
      <c r="E38" s="76" t="s">
        <v>216</v>
      </c>
      <c r="F38" s="489" t="s">
        <v>217</v>
      </c>
      <c r="G38" s="489"/>
      <c r="H38" s="489"/>
      <c r="I38" s="489"/>
      <c r="J38" s="19"/>
      <c r="K38" s="19" t="s">
        <v>218</v>
      </c>
      <c r="L38" s="18"/>
      <c r="M38" s="18"/>
      <c r="N38" s="18"/>
      <c r="O38" s="19" t="s">
        <v>219</v>
      </c>
      <c r="P38" s="18"/>
      <c r="Q38" s="18"/>
      <c r="R38" s="18"/>
      <c r="T38" s="123" t="s">
        <v>220</v>
      </c>
      <c r="U38" s="46">
        <f t="shared" ca="1" si="3"/>
        <v>46438</v>
      </c>
      <c r="AV38" s="1"/>
    </row>
    <row r="39" spans="1:48">
      <c r="A39" s="18"/>
      <c r="B39" s="77">
        <v>5</v>
      </c>
      <c r="C39" s="78">
        <v>7.0000000000000007E-2</v>
      </c>
      <c r="D39" s="79">
        <f>PMT(C39/12,B39*12,-1)</f>
        <v>1.9801198540349535E-2</v>
      </c>
      <c r="E39" s="80" t="e">
        <f>F34*D39</f>
        <v>#REF!</v>
      </c>
      <c r="F39" s="490" t="e">
        <f>E39/0.33</f>
        <v>#REF!</v>
      </c>
      <c r="G39" s="490"/>
      <c r="H39" s="490"/>
      <c r="I39" s="490"/>
      <c r="J39" s="19"/>
      <c r="K39" s="18"/>
      <c r="L39" s="18"/>
      <c r="M39" s="26"/>
      <c r="N39" s="18"/>
      <c r="O39" s="18"/>
      <c r="P39" s="18"/>
      <c r="Q39" s="18"/>
      <c r="R39" s="18"/>
      <c r="T39" s="123" t="s">
        <v>221</v>
      </c>
      <c r="U39" s="46">
        <f t="shared" ca="1" si="3"/>
        <v>46466</v>
      </c>
      <c r="AV39" s="1"/>
    </row>
    <row r="40" spans="1:48">
      <c r="A40" s="18"/>
      <c r="B40" s="77">
        <v>10</v>
      </c>
      <c r="C40" s="78">
        <v>7.0000000000000007E-2</v>
      </c>
      <c r="D40" s="79">
        <f>PMT(C40/12,B40*12,-1)</f>
        <v>1.1610847921862406E-2</v>
      </c>
      <c r="E40" s="80" t="e">
        <f>F34*D40</f>
        <v>#REF!</v>
      </c>
      <c r="F40" s="490" t="e">
        <f>E40/0.33</f>
        <v>#REF!</v>
      </c>
      <c r="G40" s="490"/>
      <c r="H40" s="490"/>
      <c r="I40" s="490"/>
      <c r="J40" s="19"/>
      <c r="K40" s="18"/>
      <c r="L40" s="18"/>
      <c r="M40" s="26"/>
      <c r="N40" s="18"/>
      <c r="O40" s="18"/>
      <c r="P40" s="18"/>
      <c r="Q40" s="18"/>
      <c r="R40" s="18"/>
      <c r="T40" s="123" t="s">
        <v>222</v>
      </c>
      <c r="U40" s="46">
        <f t="shared" ca="1" si="3"/>
        <v>46497</v>
      </c>
      <c r="AV40" s="1"/>
    </row>
    <row r="41" spans="1:48">
      <c r="A41" s="18"/>
      <c r="B41" s="77">
        <v>15</v>
      </c>
      <c r="C41" s="78">
        <v>7.0000000000000007E-2</v>
      </c>
      <c r="D41" s="79">
        <f t="shared" ref="D41:D42" si="4">PMT(C41/12,B41*12,-1)</f>
        <v>8.988282708524269E-3</v>
      </c>
      <c r="E41" s="80" t="e">
        <f>F34*D41</f>
        <v>#REF!</v>
      </c>
      <c r="F41" s="490" t="e">
        <f>E41/0.33</f>
        <v>#REF!</v>
      </c>
      <c r="G41" s="490"/>
      <c r="H41" s="490"/>
      <c r="I41" s="490"/>
      <c r="J41" s="19"/>
      <c r="K41" s="491"/>
      <c r="L41" s="491"/>
      <c r="M41" s="491"/>
      <c r="N41" s="19"/>
      <c r="O41" s="125"/>
      <c r="P41" s="125"/>
      <c r="Q41" s="125"/>
      <c r="R41" s="126"/>
      <c r="T41" s="123" t="s">
        <v>223</v>
      </c>
      <c r="U41" s="46">
        <f t="shared" ca="1" si="3"/>
        <v>46527</v>
      </c>
      <c r="AV41" s="1"/>
    </row>
    <row r="42" spans="1:48">
      <c r="A42" s="18"/>
      <c r="B42" s="77">
        <v>20</v>
      </c>
      <c r="C42" s="78">
        <v>7.0000000000000007E-2</v>
      </c>
      <c r="D42" s="79">
        <f t="shared" si="4"/>
        <v>7.7529893561887461E-3</v>
      </c>
      <c r="E42" s="80" t="e">
        <f>F34*D42</f>
        <v>#REF!</v>
      </c>
      <c r="F42" s="490" t="e">
        <f>E42/0.33</f>
        <v>#REF!</v>
      </c>
      <c r="G42" s="490"/>
      <c r="H42" s="490"/>
      <c r="I42" s="490"/>
      <c r="J42" s="19"/>
      <c r="K42" s="86" t="s">
        <v>224</v>
      </c>
      <c r="L42" s="487"/>
      <c r="M42" s="487"/>
      <c r="N42" s="18"/>
      <c r="O42" s="488" t="s">
        <v>225</v>
      </c>
      <c r="P42" s="488"/>
      <c r="Q42" s="488"/>
      <c r="R42" s="126"/>
      <c r="T42" s="123"/>
      <c r="U42" s="46"/>
      <c r="AV42" s="1"/>
    </row>
    <row r="43" spans="1:48" ht="14.25">
      <c r="A43" s="18"/>
      <c r="B43" s="81" t="s">
        <v>226</v>
      </c>
      <c r="C43" s="82"/>
      <c r="D43" s="83"/>
      <c r="E43" s="129"/>
      <c r="F43" s="130"/>
      <c r="G43" s="130"/>
      <c r="H43" s="130"/>
      <c r="I43" s="130"/>
      <c r="J43" s="19"/>
      <c r="K43" s="89"/>
      <c r="L43" s="89"/>
      <c r="M43" s="89"/>
      <c r="N43" s="89"/>
      <c r="O43" s="89"/>
      <c r="P43" s="90"/>
      <c r="Q43" s="90"/>
      <c r="R43" s="126"/>
      <c r="T43" s="123"/>
      <c r="U43" s="46"/>
      <c r="AV43" s="1"/>
    </row>
    <row r="44" spans="1:48">
      <c r="A44" s="18"/>
      <c r="B44" s="81" t="s">
        <v>227</v>
      </c>
      <c r="C44" s="82"/>
      <c r="D44" s="83"/>
      <c r="E44" s="129"/>
      <c r="F44" s="130"/>
      <c r="G44" s="130"/>
      <c r="H44" s="130"/>
      <c r="I44" s="130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/>
      <c r="AV44" s="1"/>
    </row>
    <row r="45" spans="1:48">
      <c r="A45" s="18"/>
      <c r="B45" s="91" t="s">
        <v>228</v>
      </c>
      <c r="C45" s="82"/>
      <c r="D45" s="83"/>
      <c r="E45" s="129"/>
      <c r="F45" s="130"/>
      <c r="G45" s="130"/>
      <c r="H45" s="130"/>
      <c r="I45" s="130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/>
      <c r="AV45" s="1"/>
    </row>
    <row r="46" spans="1:48">
      <c r="A46" s="18"/>
      <c r="B46" s="91" t="s">
        <v>229</v>
      </c>
      <c r="C46" s="82"/>
      <c r="D46" s="83"/>
      <c r="E46" s="129"/>
      <c r="F46" s="130"/>
      <c r="G46" s="130"/>
      <c r="H46" s="130"/>
      <c r="I46" s="13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/>
      <c r="AV46" s="1"/>
    </row>
    <row r="47" spans="1:48">
      <c r="A47" s="18"/>
      <c r="B47" s="26"/>
      <c r="C47" s="82"/>
      <c r="D47" s="83"/>
      <c r="E47" s="129"/>
      <c r="F47" s="130"/>
      <c r="G47" s="130"/>
      <c r="H47" s="130"/>
      <c r="I47" s="13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/>
      <c r="AV47" s="1"/>
    </row>
    <row r="48" spans="1:48">
      <c r="A48" s="18"/>
      <c r="B48" s="19" t="s">
        <v>230</v>
      </c>
      <c r="C48" s="82"/>
      <c r="D48" s="83"/>
      <c r="E48" s="129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/>
      <c r="AV48" s="1"/>
    </row>
    <row r="49" spans="1:48">
      <c r="A49" s="18"/>
      <c r="B49" s="76" t="s">
        <v>213</v>
      </c>
      <c r="C49" s="76" t="s">
        <v>214</v>
      </c>
      <c r="D49" s="76" t="s">
        <v>215</v>
      </c>
      <c r="E49" s="76" t="s">
        <v>231</v>
      </c>
      <c r="F49" s="489" t="s">
        <v>217</v>
      </c>
      <c r="G49" s="489"/>
      <c r="H49" s="489"/>
      <c r="I49" s="489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/>
      <c r="AV49" s="1"/>
    </row>
    <row r="50" spans="1:48">
      <c r="A50" s="18"/>
      <c r="B50" s="78" t="s">
        <v>232</v>
      </c>
      <c r="C50" s="131">
        <v>0.16</v>
      </c>
      <c r="D50" s="79">
        <f>'Pricelist Standard'!AQ6</f>
        <v>2.4318057116359135E-2</v>
      </c>
      <c r="E50" s="80" t="e">
        <f>F34*D50</f>
        <v>#REF!</v>
      </c>
      <c r="F50" s="490" t="e">
        <f>E50/0.33</f>
        <v>#REF!</v>
      </c>
      <c r="G50" s="490"/>
      <c r="H50" s="490"/>
      <c r="I50" s="490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/>
      <c r="AV50" s="1"/>
    </row>
    <row r="51" spans="1:48">
      <c r="A51" s="18"/>
      <c r="B51" s="78" t="s">
        <v>233</v>
      </c>
      <c r="C51" s="131">
        <v>0.14000000000000001</v>
      </c>
      <c r="D51" s="79">
        <f>'Pricelist Standard'!AU6</f>
        <v>1.801851990409967E-2</v>
      </c>
      <c r="E51" s="80" t="e">
        <f>F34*D51</f>
        <v>#REF!</v>
      </c>
      <c r="F51" s="490" t="e">
        <f>E51/0.33</f>
        <v>#REF!</v>
      </c>
      <c r="G51" s="490"/>
      <c r="H51" s="490"/>
      <c r="I51" s="490"/>
      <c r="J51" s="19"/>
      <c r="K51" s="92"/>
      <c r="L51" s="18"/>
      <c r="M51" s="39"/>
      <c r="N51" s="18"/>
      <c r="O51" s="18"/>
      <c r="P51" s="18"/>
      <c r="Q51" s="18"/>
      <c r="R51" s="126"/>
      <c r="T51" s="123"/>
      <c r="U51" s="46"/>
      <c r="AV51" s="1"/>
    </row>
    <row r="52" spans="1:48">
      <c r="A52" s="18"/>
      <c r="B52" s="91" t="s">
        <v>228</v>
      </c>
      <c r="C52" s="82"/>
      <c r="D52" s="83"/>
      <c r="E52" s="129"/>
      <c r="F52" s="130"/>
      <c r="G52" s="130"/>
      <c r="H52" s="130"/>
      <c r="I52" s="130"/>
      <c r="J52" s="19"/>
      <c r="K52" s="92"/>
      <c r="L52" s="18"/>
      <c r="M52" s="39"/>
      <c r="N52" s="18"/>
      <c r="O52" s="18"/>
      <c r="P52" s="18"/>
      <c r="Q52" s="18"/>
      <c r="R52" s="18"/>
      <c r="T52" s="123" t="s">
        <v>234</v>
      </c>
      <c r="U52" s="46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AL52" s="87">
        <v>3128865.99</v>
      </c>
      <c r="AV52" s="1"/>
    </row>
    <row r="53" spans="1:48" ht="14.25">
      <c r="A53" s="18"/>
      <c r="C53" s="82"/>
      <c r="D53" s="83"/>
      <c r="E53" s="84"/>
      <c r="F53" s="486"/>
      <c r="G53" s="486"/>
      <c r="H53" s="85"/>
      <c r="I53" s="18"/>
      <c r="J53" s="19"/>
      <c r="K53" s="92"/>
      <c r="L53" s="18"/>
      <c r="M53" s="39"/>
      <c r="N53" s="18"/>
      <c r="O53" s="18"/>
      <c r="P53" s="18"/>
      <c r="Q53" s="18"/>
      <c r="R53" s="90"/>
      <c r="T53" s="123" t="s">
        <v>235</v>
      </c>
      <c r="U53" s="46">
        <f t="shared" ca="1" si="3"/>
        <v>46588</v>
      </c>
      <c r="AV53" s="1"/>
    </row>
    <row r="54" spans="1:48">
      <c r="A54" s="18"/>
      <c r="C54" s="88"/>
      <c r="D54" s="26"/>
      <c r="E54" s="18"/>
      <c r="F54" s="18"/>
      <c r="G54" s="18"/>
      <c r="H54" s="18"/>
      <c r="I54" s="18"/>
      <c r="J54" s="19"/>
      <c r="K54" s="92"/>
      <c r="L54" s="18"/>
      <c r="M54" s="39"/>
      <c r="N54" s="18"/>
      <c r="O54" s="18"/>
      <c r="P54" s="18"/>
      <c r="Q54" s="18"/>
      <c r="T54" s="123" t="s">
        <v>236</v>
      </c>
      <c r="U54" s="46">
        <f t="shared" ca="1" si="3"/>
        <v>46619</v>
      </c>
      <c r="AV54" s="1"/>
    </row>
    <row r="55" spans="1:48">
      <c r="A55" s="18"/>
      <c r="C55" s="18"/>
      <c r="D55" s="26"/>
      <c r="E55" s="18"/>
      <c r="F55" s="18"/>
      <c r="G55" s="18"/>
      <c r="H55" s="18"/>
      <c r="I55" s="18"/>
      <c r="J55" s="17"/>
      <c r="K55" s="92"/>
      <c r="L55" s="18"/>
      <c r="M55" s="39"/>
      <c r="N55" s="18"/>
      <c r="O55" s="18"/>
      <c r="P55" s="18"/>
      <c r="Q55" s="18"/>
      <c r="T55" s="123" t="s">
        <v>237</v>
      </c>
      <c r="U55" s="46">
        <f t="shared" ca="1" si="3"/>
        <v>46650</v>
      </c>
      <c r="AV55" s="1"/>
    </row>
    <row r="56" spans="1:48">
      <c r="A56" s="18"/>
      <c r="C56" s="88"/>
      <c r="D56" s="26"/>
      <c r="E56" s="18"/>
      <c r="F56" s="18"/>
      <c r="G56" s="18"/>
      <c r="H56" s="18"/>
      <c r="I56" s="18"/>
      <c r="J56" s="26"/>
      <c r="K56" s="92"/>
      <c r="L56" s="18"/>
      <c r="M56" s="39"/>
      <c r="N56" s="18"/>
      <c r="O56" s="18"/>
      <c r="P56" s="18"/>
      <c r="Q56" s="18"/>
      <c r="T56" s="123" t="s">
        <v>238</v>
      </c>
      <c r="U56" s="46">
        <f t="shared" ca="1" si="3"/>
        <v>46680</v>
      </c>
      <c r="AV56" s="1"/>
    </row>
    <row r="57" spans="1:48">
      <c r="A57" s="18"/>
      <c r="B57" s="93"/>
      <c r="C57" s="18"/>
      <c r="D57" s="18"/>
      <c r="E57" s="18"/>
      <c r="F57" s="18"/>
      <c r="G57" s="18"/>
      <c r="H57" s="18"/>
      <c r="I57" s="18"/>
      <c r="J57" s="26"/>
      <c r="K57" s="92"/>
      <c r="L57" s="18"/>
      <c r="M57" s="39"/>
      <c r="N57" s="18"/>
      <c r="O57" s="18"/>
      <c r="P57" s="18"/>
      <c r="Q57" s="18"/>
      <c r="T57" s="123" t="s">
        <v>239</v>
      </c>
      <c r="U57" s="137">
        <f t="shared" ca="1" si="3"/>
        <v>46711</v>
      </c>
      <c r="AV57" s="1"/>
    </row>
    <row r="58" spans="1:48">
      <c r="A58" s="18"/>
      <c r="J58" s="26"/>
      <c r="K58" s="19"/>
      <c r="L58" s="18"/>
      <c r="M58" s="18"/>
      <c r="N58" s="18"/>
      <c r="O58" s="19"/>
      <c r="P58" s="18"/>
      <c r="Q58" s="18"/>
      <c r="T58" s="123"/>
      <c r="U58" s="138"/>
      <c r="AH58" s="1"/>
      <c r="AU58" s="1"/>
      <c r="AV58" s="1"/>
    </row>
    <row r="59" spans="1:48">
      <c r="A59" s="18"/>
      <c r="J59" s="26"/>
      <c r="K59" s="18"/>
      <c r="L59" s="18"/>
      <c r="M59" s="26"/>
      <c r="N59" s="18"/>
      <c r="O59" s="18"/>
      <c r="P59" s="18"/>
      <c r="Q59" s="18"/>
      <c r="T59" s="123"/>
      <c r="U59" s="138"/>
      <c r="AH59" s="1"/>
      <c r="AU59" s="1"/>
      <c r="AV59" s="1"/>
    </row>
    <row r="60" spans="1:48" ht="15" customHeight="1">
      <c r="A60" s="18"/>
      <c r="J60" s="17"/>
      <c r="K60" s="18"/>
      <c r="L60" s="18"/>
      <c r="M60" s="26"/>
      <c r="N60" s="18"/>
      <c r="O60" s="18"/>
      <c r="P60" s="18"/>
      <c r="Q60" s="18"/>
      <c r="T60" s="132"/>
      <c r="U60" s="138"/>
      <c r="AH60" s="1"/>
      <c r="AU60" s="1"/>
      <c r="AV60" s="1"/>
    </row>
    <row r="61" spans="1:48">
      <c r="A61" s="18"/>
      <c r="J61" s="17"/>
      <c r="K61" s="484"/>
      <c r="L61" s="484"/>
      <c r="M61" s="484"/>
      <c r="N61" s="19"/>
      <c r="O61" s="484"/>
      <c r="P61" s="484"/>
      <c r="Q61" s="484"/>
      <c r="T61" s="132"/>
      <c r="U61" s="138"/>
      <c r="AH61" s="1"/>
      <c r="AU61" s="1"/>
      <c r="AV61" s="1"/>
    </row>
    <row r="62" spans="1:48" ht="15" customHeight="1">
      <c r="A62" s="18"/>
      <c r="J62" s="71"/>
      <c r="K62" s="18"/>
      <c r="L62" s="474"/>
      <c r="M62" s="474"/>
      <c r="N62" s="18"/>
      <c r="O62" s="485"/>
      <c r="P62" s="485"/>
      <c r="Q62" s="485"/>
      <c r="T62" s="123"/>
      <c r="U62" s="138"/>
      <c r="AH62" s="1"/>
      <c r="AU62" s="1"/>
      <c r="AV62" s="1"/>
    </row>
    <row r="63" spans="1:48">
      <c r="A63" s="18"/>
      <c r="J63" s="71"/>
      <c r="K63" s="92"/>
      <c r="L63" s="18"/>
      <c r="M63" s="84"/>
      <c r="N63" s="18"/>
      <c r="O63" s="18"/>
      <c r="P63" s="18"/>
      <c r="Q63" s="18"/>
      <c r="T63" s="123"/>
      <c r="U63" s="138"/>
      <c r="AH63" s="1"/>
      <c r="AU63" s="1"/>
      <c r="AV63" s="1"/>
    </row>
    <row r="64" spans="1:48" ht="15" customHeight="1">
      <c r="A64" s="18"/>
      <c r="J64" s="71"/>
      <c r="K64" s="92"/>
      <c r="L64" s="18"/>
      <c r="M64" s="84"/>
      <c r="N64" s="18"/>
      <c r="O64" s="18"/>
      <c r="P64" s="18"/>
      <c r="Q64" s="18"/>
      <c r="T64" s="123"/>
      <c r="U64" s="138"/>
      <c r="AH64" s="1"/>
      <c r="AU64" s="1"/>
      <c r="AV64" s="1"/>
    </row>
    <row r="65" spans="1:48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240</v>
      </c>
      <c r="U65" s="139">
        <f t="shared" si="3"/>
        <v>36</v>
      </c>
      <c r="AH65" s="1"/>
      <c r="AU65" s="1"/>
      <c r="AV65" s="1"/>
    </row>
    <row r="66" spans="1:48" ht="15" customHeight="1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241</v>
      </c>
      <c r="U66" s="46">
        <f>IF(AND(DAY(U65)&gt;=6,DAY(U65)&lt;=20),DATE(YEAR(U65),MONTH(U65)+1,DAY(20)),IF(AND(DAY(U65)&gt;=21,DAY(U65)&lt;=30),DATE(YEAR(U65),MONTH(U65)+1,IF(DAY(EOMONTH(U65,1))&lt;30,DAY(EOMONTH(U65,1)),DAY(30))),DATE(YEAR(U65),MONTH(U65)+1,DAY(5))))</f>
        <v>65</v>
      </c>
      <c r="AH66" s="1"/>
      <c r="AU66" s="1"/>
      <c r="AV66" s="1"/>
    </row>
    <row r="67" spans="1:48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242</v>
      </c>
      <c r="U67" s="46">
        <f t="shared" si="3"/>
        <v>96</v>
      </c>
      <c r="AH67" s="1"/>
      <c r="AU67" s="1"/>
      <c r="AV67" s="1"/>
    </row>
    <row r="68" spans="1:48" ht="15" customHeight="1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243</v>
      </c>
      <c r="U68" s="46">
        <f t="shared" si="3"/>
        <v>126</v>
      </c>
      <c r="AH68" s="1"/>
      <c r="AU68" s="1"/>
      <c r="AV68" s="1"/>
    </row>
    <row r="69" spans="1:48">
      <c r="A69" s="18"/>
      <c r="B69" s="482"/>
      <c r="C69" s="482"/>
      <c r="D69" s="482"/>
      <c r="E69" s="482"/>
      <c r="F69" s="482"/>
      <c r="G69" s="483"/>
      <c r="H69" s="483"/>
      <c r="I69" s="483"/>
      <c r="J69" s="18"/>
      <c r="K69" s="92"/>
      <c r="L69" s="18"/>
      <c r="M69" s="39"/>
      <c r="N69" s="18"/>
      <c r="O69" s="18"/>
      <c r="P69" s="18"/>
      <c r="Q69" s="18"/>
      <c r="T69" s="123" t="s">
        <v>244</v>
      </c>
      <c r="U69" s="46">
        <f t="shared" si="3"/>
        <v>157</v>
      </c>
      <c r="AH69" s="1"/>
      <c r="AU69" s="1"/>
      <c r="AV69" s="1"/>
    </row>
    <row r="70" spans="1:48" ht="12.75" customHeight="1">
      <c r="A70" s="18"/>
      <c r="B70" s="482"/>
      <c r="C70" s="482"/>
      <c r="D70" s="482"/>
      <c r="E70" s="482"/>
      <c r="F70" s="482"/>
      <c r="G70" s="483"/>
      <c r="H70" s="483"/>
      <c r="I70" s="483"/>
      <c r="J70" s="71"/>
      <c r="K70" s="92"/>
      <c r="L70" s="18"/>
      <c r="M70" s="39"/>
      <c r="N70" s="18"/>
      <c r="O70" s="18"/>
      <c r="P70" s="18"/>
      <c r="Q70" s="18"/>
      <c r="T70" s="123" t="s">
        <v>245</v>
      </c>
      <c r="U70" s="46">
        <f t="shared" si="3"/>
        <v>187</v>
      </c>
      <c r="AH70" s="1"/>
      <c r="AU70" s="1"/>
      <c r="AV70" s="1"/>
    </row>
    <row r="71" spans="1:48">
      <c r="A71" s="18"/>
      <c r="B71" s="482"/>
      <c r="C71" s="482"/>
      <c r="D71" s="482"/>
      <c r="E71" s="482"/>
      <c r="F71" s="482"/>
      <c r="G71" s="483"/>
      <c r="H71" s="483"/>
      <c r="I71" s="483"/>
      <c r="J71" s="71"/>
      <c r="K71" s="92"/>
      <c r="L71" s="18"/>
      <c r="M71" s="39"/>
      <c r="N71" s="18"/>
      <c r="O71" s="18"/>
      <c r="P71" s="18"/>
      <c r="Q71" s="18"/>
      <c r="T71" s="123" t="s">
        <v>246</v>
      </c>
      <c r="U71" s="46">
        <f t="shared" si="3"/>
        <v>218</v>
      </c>
      <c r="AH71" s="1"/>
      <c r="AU71" s="1"/>
      <c r="AV71" s="1"/>
    </row>
    <row r="72" spans="1:48">
      <c r="A72" s="18"/>
      <c r="B72" s="482"/>
      <c r="C72" s="482"/>
      <c r="D72" s="482"/>
      <c r="E72" s="482"/>
      <c r="F72" s="482"/>
      <c r="G72" s="483"/>
      <c r="H72" s="483"/>
      <c r="I72" s="483"/>
      <c r="J72" s="71"/>
      <c r="K72" s="92"/>
      <c r="L72" s="18"/>
      <c r="M72" s="39"/>
      <c r="N72" s="18"/>
      <c r="O72" s="18"/>
      <c r="P72" s="18"/>
      <c r="Q72" s="18"/>
      <c r="T72" s="123" t="s">
        <v>247</v>
      </c>
      <c r="U72" s="46">
        <f t="shared" si="3"/>
        <v>249</v>
      </c>
      <c r="AH72" s="1"/>
      <c r="AU72" s="1"/>
      <c r="AV72" s="1"/>
    </row>
    <row r="73" spans="1:48">
      <c r="A73" s="18"/>
      <c r="B73" s="93"/>
      <c r="C73" s="18"/>
      <c r="D73" s="18"/>
      <c r="E73" s="18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248</v>
      </c>
      <c r="U73" s="46">
        <f t="shared" si="3"/>
        <v>279</v>
      </c>
      <c r="AH73" s="1"/>
      <c r="AU73" s="1"/>
      <c r="AV73" s="1"/>
    </row>
    <row r="74" spans="1:48">
      <c r="A74" s="18"/>
      <c r="C74" s="93"/>
      <c r="D74" s="479"/>
      <c r="E74" s="480"/>
      <c r="F74" s="480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249</v>
      </c>
      <c r="U74" s="46">
        <f>IF(AND(DAY(U73)&gt;=6,DAY(U73)&lt;=20),DATE(YEAR(U73),MONTH(U73)+1,DAY(20)),IF(AND(DAY(U73)&gt;=21,DAY(U73)&lt;=30),DATE(YEAR(U73),MONTH(U73)+1,IF(DAY(EOMONTH(U73,1))&lt;30,DAY(EOMONTH(U73,1)),DAY(30))),DATE(YEAR(U73),MONTH(U73)+1,DAY(5))))</f>
        <v>310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T75" s="123" t="s">
        <v>250</v>
      </c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B77" s="93"/>
      <c r="C77" s="18"/>
      <c r="D77" s="94"/>
      <c r="E77" s="94"/>
      <c r="F77" s="18"/>
      <c r="G77" s="18"/>
      <c r="H77" s="18"/>
      <c r="I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>
      <c r="A78" s="18"/>
      <c r="B78" s="93"/>
      <c r="C78" s="18"/>
      <c r="D78" s="94"/>
      <c r="E78" s="94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B79" s="93"/>
      <c r="C79" s="18"/>
      <c r="D79" s="94"/>
      <c r="E79" s="94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26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26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26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 ht="12" customHeight="1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2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0.5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AH229" s="1"/>
      <c r="AU229" s="1"/>
      <c r="AV229" s="1"/>
    </row>
    <row r="230" spans="1:48" ht="12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AH230" s="1"/>
      <c r="AU230" s="1"/>
      <c r="AV230" s="1"/>
    </row>
    <row r="231" spans="1:48" ht="13.5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39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18"/>
      <c r="L232" s="18"/>
      <c r="M232" s="26"/>
      <c r="N232" s="18"/>
      <c r="O232" s="18"/>
      <c r="P232" s="18"/>
      <c r="Q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18"/>
      <c r="M233" s="26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8"/>
      <c r="L234" s="18"/>
      <c r="M234" s="26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81"/>
      <c r="L235" s="481"/>
      <c r="M235" s="481"/>
      <c r="N235" s="18"/>
      <c r="O235" s="18"/>
      <c r="P235" s="481"/>
      <c r="Q235" s="481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8"/>
      <c r="L236" s="474"/>
      <c r="M236" s="474"/>
      <c r="N236" s="18"/>
      <c r="O236" s="18"/>
      <c r="P236" s="18"/>
      <c r="Q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17"/>
      <c r="L237" s="18"/>
      <c r="M237" s="18"/>
      <c r="N237" s="18"/>
      <c r="O237" s="18"/>
      <c r="P237" s="18"/>
      <c r="Q237" s="18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9"/>
      <c r="L238" s="18"/>
      <c r="M238" s="18"/>
      <c r="N238" s="18"/>
      <c r="O238" s="18"/>
      <c r="P238" s="18"/>
      <c r="Q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7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93"/>
      <c r="C244" s="18"/>
      <c r="D244" s="18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93"/>
      <c r="C245" s="18"/>
      <c r="D245" s="18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93"/>
      <c r="C246" s="18"/>
      <c r="D246" s="18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26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26"/>
      <c r="E249" s="18"/>
      <c r="F249" s="18"/>
      <c r="G249" s="18"/>
      <c r="H249" s="18"/>
      <c r="I249" s="18"/>
      <c r="J249" s="71"/>
      <c r="K249" s="4"/>
      <c r="L249" s="1"/>
      <c r="AH249" s="1"/>
      <c r="AU249" s="1"/>
      <c r="AV249" s="1"/>
    </row>
    <row r="250" spans="1:48" ht="12" customHeight="1">
      <c r="A250" s="18"/>
      <c r="B250" s="18"/>
      <c r="C250" s="18"/>
      <c r="D250" s="26"/>
      <c r="E250" s="18"/>
      <c r="F250" s="18"/>
      <c r="G250" s="18"/>
      <c r="H250" s="18"/>
      <c r="I250" s="18"/>
      <c r="J250" s="18"/>
      <c r="K250" s="4"/>
      <c r="L250" s="1"/>
      <c r="AH250" s="1"/>
      <c r="AU250" s="1"/>
      <c r="AV250" s="1"/>
    </row>
    <row r="251" spans="1:48" ht="12" customHeight="1">
      <c r="B251" s="18"/>
      <c r="C251" s="18"/>
      <c r="D251" s="18"/>
      <c r="E251" s="18"/>
      <c r="F251" s="26"/>
      <c r="G251" s="26"/>
      <c r="H251" s="26"/>
      <c r="I251" s="26"/>
      <c r="J251" s="18"/>
      <c r="K251" s="4"/>
      <c r="L251" s="1"/>
      <c r="AH251" s="1"/>
      <c r="AU251" s="1"/>
      <c r="AV251" s="1"/>
    </row>
    <row r="252" spans="1:48" ht="12" customHeight="1">
      <c r="A252" s="95" t="e">
        <f>(F15-#REF!)*12%</f>
        <v>#REF!</v>
      </c>
      <c r="B252" s="18"/>
      <c r="C252" s="18"/>
      <c r="D252" s="18"/>
      <c r="E252" s="18"/>
      <c r="F252" s="18"/>
      <c r="G252" s="18"/>
      <c r="H252" s="18"/>
      <c r="I252" s="18"/>
      <c r="J252" s="18"/>
      <c r="K252" s="4"/>
      <c r="L252" s="1"/>
      <c r="AH252" s="1"/>
      <c r="AU252" s="1"/>
      <c r="AV252" s="1"/>
    </row>
    <row r="253" spans="1:48" ht="12" customHeight="1">
      <c r="A253" s="96"/>
      <c r="B253" s="18"/>
      <c r="C253" s="18"/>
      <c r="D253" s="97"/>
      <c r="E253" s="98"/>
      <c r="F253" s="98"/>
      <c r="G253" s="98"/>
      <c r="H253" s="98"/>
      <c r="I253" s="17"/>
      <c r="J253" s="18"/>
      <c r="AH253" s="1"/>
      <c r="AU253" s="1"/>
      <c r="AV253" s="1"/>
    </row>
    <row r="254" spans="1:48" ht="17.25" customHeight="1">
      <c r="B254" s="18"/>
      <c r="C254" s="18"/>
      <c r="D254" s="97"/>
      <c r="E254" s="98"/>
      <c r="F254" s="98"/>
      <c r="G254" s="98"/>
      <c r="H254" s="98"/>
      <c r="I254" s="19"/>
      <c r="J254" s="18"/>
      <c r="AH254" s="1"/>
      <c r="AU254" s="1"/>
      <c r="AV254" s="1"/>
    </row>
    <row r="255" spans="1:48" ht="15.75" customHeight="1">
      <c r="B255" s="95"/>
      <c r="D255" s="99"/>
      <c r="E255" s="100"/>
      <c r="F255" s="100"/>
      <c r="G255" s="100"/>
      <c r="H255" s="100"/>
      <c r="I255" s="17"/>
      <c r="J255" s="18"/>
      <c r="AH255" s="1"/>
      <c r="AU255" s="1"/>
      <c r="AV255" s="1"/>
    </row>
    <row r="256" spans="1:48" ht="12.75" customHeight="1">
      <c r="D256" s="99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J257" s="18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4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7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9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J263" s="17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1"/>
      <c r="AE396" s="102"/>
      <c r="AF396" s="101"/>
      <c r="AH396" s="1"/>
      <c r="AU396" s="1"/>
      <c r="AV396" s="1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2"/>
      <c r="AH397" s="104"/>
      <c r="AI397" s="105"/>
      <c r="AJ397" s="106"/>
      <c r="AK397" s="107"/>
      <c r="AL397" s="107"/>
      <c r="AM397" s="108"/>
      <c r="AN397" s="109"/>
      <c r="AO397" s="107"/>
      <c r="AP397" s="107"/>
      <c r="AQ397" s="110">
        <v>20000</v>
      </c>
      <c r="AR397" s="107"/>
      <c r="AS397" s="101">
        <v>24</v>
      </c>
      <c r="AT397" s="111"/>
      <c r="AU397" s="112"/>
      <c r="AV397" s="111"/>
      <c r="AW397" s="107"/>
      <c r="AX397" s="107"/>
      <c r="AY397" s="107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>
        <v>15000</v>
      </c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103"/>
      <c r="AE405" s="103"/>
      <c r="AF405" s="101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G406" s="103"/>
      <c r="AH406" s="113"/>
      <c r="AI406" s="114"/>
      <c r="AJ406" s="115"/>
      <c r="AK406" s="110"/>
      <c r="AL406" s="110"/>
      <c r="AM406" s="116"/>
      <c r="AN406" s="117"/>
      <c r="AO406" s="110"/>
      <c r="AP406" s="110"/>
      <c r="AQ406" s="110"/>
      <c r="AR406" s="110"/>
      <c r="AS406" s="103"/>
      <c r="AT406" s="118"/>
      <c r="AU406" s="119"/>
      <c r="AV406" s="118"/>
      <c r="AW406" s="110"/>
      <c r="AX406" s="110"/>
      <c r="AY406" s="110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D413" s="4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  <c r="AQ414" s="96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  <c r="AH421" s="12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2.75" customHeight="1">
      <c r="D754" s="99"/>
      <c r="E754" s="100"/>
      <c r="F754" s="100"/>
      <c r="G754" s="100"/>
      <c r="H754" s="100"/>
    </row>
    <row r="755" spans="4:8" ht="13.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</row>
    <row r="782" spans="4:28" ht="12.75" customHeight="1">
      <c r="D782" s="99"/>
      <c r="E782" s="100"/>
      <c r="F782" s="100"/>
      <c r="G782" s="100"/>
      <c r="H782" s="100"/>
      <c r="AB782" s="9">
        <v>1</v>
      </c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E792" s="100"/>
      <c r="F792" s="100"/>
      <c r="G792" s="100"/>
      <c r="H792" s="100"/>
    </row>
    <row r="793" spans="4:8" ht="12.75" customHeight="1">
      <c r="D793" s="99"/>
      <c r="E793" s="100"/>
      <c r="F793" s="100"/>
      <c r="G793" s="100"/>
      <c r="H793" s="100"/>
    </row>
    <row r="794" spans="4:8" ht="12.75" customHeight="1">
      <c r="D794" s="99"/>
      <c r="E794" s="100"/>
      <c r="F794" s="100"/>
      <c r="G794" s="100"/>
      <c r="H794" s="100"/>
    </row>
    <row r="795" spans="4:8" ht="12.75" customHeight="1">
      <c r="D795" s="99"/>
      <c r="F795" s="100"/>
      <c r="G795" s="100"/>
      <c r="H795" s="100"/>
    </row>
    <row r="796" spans="4:8" ht="12.75" customHeight="1">
      <c r="D796" s="99"/>
      <c r="F796" s="100"/>
      <c r="G796" s="100"/>
      <c r="H796" s="100"/>
    </row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.75" customHeight="1"/>
    <row r="805" ht="12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</sheetData>
  <sheetProtection algorithmName="SHA-512" hashValue="dY8wew0TqJ3UT10Ev0pdx+VsBeOI7nPDjVYN198shwtKyh6Pg4KU87ndj0MGem5HKqEoCB25U83lCxIh16xGvg==" saltValue="1ualp5OcnWSZ2QQRZnfhgQ==" spinCount="100000" sheet="1" objects="1" scenarios="1"/>
  <mergeCells count="126">
    <mergeCell ref="B71:C72"/>
    <mergeCell ref="D71:F72"/>
    <mergeCell ref="G71:I72"/>
    <mergeCell ref="D74:F74"/>
    <mergeCell ref="K235:M235"/>
    <mergeCell ref="P235:Q235"/>
    <mergeCell ref="L236:M236"/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K10:L10"/>
    <mergeCell ref="N10:Q10"/>
    <mergeCell ref="E7:I7"/>
    <mergeCell ref="K7:L7"/>
    <mergeCell ref="N7:Q7"/>
    <mergeCell ref="E8:I8"/>
    <mergeCell ref="K8:L8"/>
    <mergeCell ref="N8:Q8"/>
    <mergeCell ref="E10:F10"/>
    <mergeCell ref="G10:I10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K20:L20"/>
    <mergeCell ref="N20:O20"/>
    <mergeCell ref="P20:Q20"/>
    <mergeCell ref="F20:I20"/>
    <mergeCell ref="K19:L19"/>
    <mergeCell ref="N19:O19"/>
    <mergeCell ref="P19:Q19"/>
    <mergeCell ref="W18:X18"/>
    <mergeCell ref="W19:X19"/>
    <mergeCell ref="W20:X20"/>
    <mergeCell ref="K21:L21"/>
    <mergeCell ref="N21:O21"/>
    <mergeCell ref="P21:Q21"/>
    <mergeCell ref="F23:I23"/>
    <mergeCell ref="K22:L22"/>
    <mergeCell ref="N22:O22"/>
    <mergeCell ref="P22:Q22"/>
    <mergeCell ref="B26:C26"/>
    <mergeCell ref="H26:I26"/>
    <mergeCell ref="K25:L25"/>
    <mergeCell ref="N25:O25"/>
    <mergeCell ref="K23:L23"/>
    <mergeCell ref="N23:O23"/>
    <mergeCell ref="P23:Q23"/>
    <mergeCell ref="F25:I25"/>
    <mergeCell ref="K24:L24"/>
    <mergeCell ref="N24:O24"/>
    <mergeCell ref="F21:I21"/>
    <mergeCell ref="B30:C30"/>
    <mergeCell ref="F30:I30"/>
    <mergeCell ref="B32:C32"/>
    <mergeCell ref="F32:I32"/>
    <mergeCell ref="F28:I28"/>
    <mergeCell ref="K28:L28"/>
    <mergeCell ref="N28:O28"/>
    <mergeCell ref="K26:L26"/>
    <mergeCell ref="N26:O26"/>
    <mergeCell ref="K27:L27"/>
    <mergeCell ref="N27:O27"/>
    <mergeCell ref="K29:L29"/>
    <mergeCell ref="N29:O29"/>
    <mergeCell ref="K30:L30"/>
    <mergeCell ref="N30:O30"/>
    <mergeCell ref="P30:Q30"/>
    <mergeCell ref="F38:I38"/>
    <mergeCell ref="F39:I39"/>
    <mergeCell ref="F34:I34"/>
    <mergeCell ref="K33:L33"/>
    <mergeCell ref="N33:O33"/>
    <mergeCell ref="F40:I40"/>
    <mergeCell ref="F41:I41"/>
    <mergeCell ref="F42:I42"/>
    <mergeCell ref="K41:M41"/>
    <mergeCell ref="B65:C66"/>
    <mergeCell ref="D65:F66"/>
    <mergeCell ref="G65:I66"/>
    <mergeCell ref="B67:C68"/>
    <mergeCell ref="D67:F68"/>
    <mergeCell ref="G67:I68"/>
    <mergeCell ref="B69:C70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</mergeCell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12C51-3454-4B45-9D93-3EFF55187D01}">
  <sheetPr codeName="Sheet7"/>
  <dimension ref="A1:AY870"/>
  <sheetViews>
    <sheetView topLeftCell="A3" zoomScale="90" zoomScaleNormal="90" workbookViewId="0">
      <selection activeCell="E23" sqref="E23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customWidth="1"/>
    <col min="21" max="22" width="11.42578125" style="1" customWidth="1"/>
    <col min="23" max="24" width="8.85546875" style="1" customWidth="1"/>
    <col min="25" max="25" width="11.28515625" style="1" customWidth="1"/>
    <col min="26" max="26" width="8.85546875" style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39" t="s">
        <v>253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San Esteban Unit A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e">
        <f>'Pricelist Standard'!#REF!</f>
        <v>#REF!</v>
      </c>
      <c r="F10" s="543"/>
      <c r="G10" s="543" t="e">
        <f>'Pricelist Standard'!#REF!</f>
        <v>#REF!</v>
      </c>
      <c r="H10" s="533"/>
      <c r="I10" s="534"/>
      <c r="J10" s="17"/>
      <c r="K10" s="535" t="s">
        <v>169</v>
      </c>
      <c r="L10" s="535"/>
      <c r="M10" s="29" t="s">
        <v>73</v>
      </c>
      <c r="N10" s="536" t="e">
        <f t="shared" si="0"/>
        <v>#REF!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 t="e">
        <f>'Pricelist Standard'!#REF!</f>
        <v>#REF!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 t="e">
        <f t="shared" si="0"/>
        <v>#REF!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 t="e">
        <f>'Pricelist Standard'!#REF!</f>
        <v>#REF!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 t="e">
        <f t="shared" si="0"/>
        <v>#REF!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 t="e">
        <f>'Pricelist Standard'!#REF!</f>
        <v>#REF!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43"/>
      <c r="F16" s="551">
        <v>0</v>
      </c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41"/>
      <c r="F17" s="526" t="e">
        <f>F15-F16</f>
        <v>#REF!</v>
      </c>
      <c r="G17" s="526"/>
      <c r="H17" s="526"/>
      <c r="I17" s="527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EDATE(U17,E30)</f>
        <v>#REF!</v>
      </c>
    </row>
    <row r="18" spans="1:48" ht="14.25">
      <c r="A18" s="18"/>
      <c r="B18" s="142" t="s">
        <v>180</v>
      </c>
      <c r="C18" s="45"/>
      <c r="D18" s="17"/>
      <c r="E18" s="145"/>
      <c r="F18" s="150" t="e">
        <f>F17/E11</f>
        <v>#REF!</v>
      </c>
      <c r="G18" s="146"/>
      <c r="H18" s="146"/>
      <c r="I18" s="147"/>
      <c r="J18" s="19"/>
      <c r="K18" s="501" t="e">
        <f>IF(N18="","",T18)</f>
        <v>#REF!</v>
      </c>
      <c r="L18" s="501"/>
      <c r="M18" s="46" t="e">
        <f>IF(N18="","",U18)</f>
        <v>#REF!</v>
      </c>
      <c r="N18" s="502" t="e">
        <f>IF($E$30&gt;0,$F$30,"")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4.25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1" t="e">
        <f t="shared" ref="K19:K29" si="1">IF(N19="","",T19)</f>
        <v>#REF!</v>
      </c>
      <c r="L19" s="501"/>
      <c r="M19" s="46" t="e">
        <f t="shared" ref="M19:M29" si="2">IF(N19="","",U19)</f>
        <v>#REF!</v>
      </c>
      <c r="N19" s="502" t="e">
        <f>IF($E$30&gt;1,$F$30,"")</f>
        <v>#REF!</v>
      </c>
      <c r="O19" s="503"/>
      <c r="P19" s="504"/>
      <c r="Q19" s="505"/>
      <c r="T19" s="140" t="s">
        <v>183</v>
      </c>
      <c r="U19" s="46">
        <f t="shared" ref="U19:U73" ca="1" si="3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4.25">
      <c r="A20" s="30"/>
      <c r="B20" s="28" t="s">
        <v>185</v>
      </c>
      <c r="C20" s="28"/>
      <c r="D20" s="42" t="s">
        <v>73</v>
      </c>
      <c r="E20" s="50">
        <f>'Pricelist Standard'!AE7</f>
        <v>0</v>
      </c>
      <c r="F20" s="551" t="e">
        <f>F15*E20</f>
        <v>#REF!</v>
      </c>
      <c r="G20" s="551"/>
      <c r="H20" s="551"/>
      <c r="I20" s="552"/>
      <c r="J20" s="19"/>
      <c r="K20" s="501" t="e">
        <f t="shared" si="1"/>
        <v>#REF!</v>
      </c>
      <c r="L20" s="501"/>
      <c r="M20" s="46" t="e">
        <f t="shared" si="2"/>
        <v>#REF!</v>
      </c>
      <c r="N20" s="502" t="e">
        <f>IF($E$30&gt;2,$F$30,"")</f>
        <v>#REF!</v>
      </c>
      <c r="O20" s="503"/>
      <c r="P20" s="504"/>
      <c r="Q20" s="505"/>
      <c r="T20" s="140" t="s">
        <v>186</v>
      </c>
      <c r="U20" s="46">
        <f t="shared" ca="1" si="3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151">
        <v>3.5000000000000003E-2</v>
      </c>
      <c r="F21" s="548" t="e">
        <f>E21*F15</f>
        <v>#REF!</v>
      </c>
      <c r="G21" s="549"/>
      <c r="H21" s="549"/>
      <c r="I21" s="550"/>
      <c r="J21" s="19"/>
      <c r="K21" s="501" t="e">
        <f t="shared" si="1"/>
        <v>#REF!</v>
      </c>
      <c r="L21" s="501"/>
      <c r="M21" s="46" t="e">
        <f t="shared" si="2"/>
        <v>#REF!</v>
      </c>
      <c r="N21" s="502" t="e">
        <f>IF($E$30&gt;3,$F$30,"")</f>
        <v>#REF!</v>
      </c>
      <c r="O21" s="503"/>
      <c r="P21" s="504"/>
      <c r="Q21" s="505"/>
      <c r="T21" s="140" t="s">
        <v>189</v>
      </c>
      <c r="U21" s="46">
        <f t="shared" ca="1" si="3"/>
        <v>45981</v>
      </c>
      <c r="Y21" s="136"/>
      <c r="AV21" s="1"/>
    </row>
    <row r="22" spans="1:48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1" t="e">
        <f t="shared" si="1"/>
        <v>#REF!</v>
      </c>
      <c r="L22" s="501"/>
      <c r="M22" s="46" t="e">
        <f t="shared" si="2"/>
        <v>#REF!</v>
      </c>
      <c r="N22" s="502" t="e">
        <f>IF($E$30&gt;4,$F$30,"")</f>
        <v>#REF!</v>
      </c>
      <c r="O22" s="503"/>
      <c r="P22" s="504"/>
      <c r="Q22" s="505"/>
      <c r="T22" s="140" t="s">
        <v>190</v>
      </c>
      <c r="U22" s="46">
        <f t="shared" ca="1" si="3"/>
        <v>46011</v>
      </c>
      <c r="AV22" s="1"/>
    </row>
    <row r="23" spans="1:48">
      <c r="A23" s="18"/>
      <c r="B23" s="44" t="s">
        <v>17</v>
      </c>
      <c r="C23" s="45"/>
      <c r="D23" s="17" t="s">
        <v>73</v>
      </c>
      <c r="E23" s="51"/>
      <c r="F23" s="476" t="e">
        <f>F17+F20+F21</f>
        <v>#REF!</v>
      </c>
      <c r="G23" s="477"/>
      <c r="H23" s="477"/>
      <c r="I23" s="478"/>
      <c r="J23" s="19"/>
      <c r="K23" s="501" t="e">
        <f t="shared" si="1"/>
        <v>#REF!</v>
      </c>
      <c r="L23" s="501"/>
      <c r="M23" s="46" t="e">
        <f t="shared" si="2"/>
        <v>#REF!</v>
      </c>
      <c r="N23" s="502" t="e">
        <f>IF($E$30&gt;5,$F$30,"")</f>
        <v>#REF!</v>
      </c>
      <c r="O23" s="503"/>
      <c r="P23" s="504"/>
      <c r="Q23" s="505"/>
      <c r="T23" s="140" t="s">
        <v>191</v>
      </c>
      <c r="U23" s="46">
        <f t="shared" ca="1" si="3"/>
        <v>46042</v>
      </c>
      <c r="AV23" s="1"/>
    </row>
    <row r="24" spans="1:48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1" t="e">
        <f t="shared" si="1"/>
        <v>#REF!</v>
      </c>
      <c r="L24" s="501"/>
      <c r="M24" s="46" t="e">
        <f t="shared" si="2"/>
        <v>#REF!</v>
      </c>
      <c r="N24" s="502" t="e">
        <f>IF($E$30&gt;6,$F$30,"")</f>
        <v>#REF!</v>
      </c>
      <c r="O24" s="503"/>
      <c r="P24" s="127"/>
      <c r="Q24" s="128"/>
      <c r="T24" s="140" t="s">
        <v>192</v>
      </c>
      <c r="U24" s="46">
        <f t="shared" ca="1" si="3"/>
        <v>46073</v>
      </c>
      <c r="AV24" s="1"/>
    </row>
    <row r="25" spans="1:48">
      <c r="A25" s="18"/>
      <c r="B25" s="24" t="s">
        <v>193</v>
      </c>
      <c r="C25" s="25"/>
      <c r="D25" s="40" t="s">
        <v>73</v>
      </c>
      <c r="E25" s="56">
        <f>'SPC San Diego C'!E25</f>
        <v>0.05</v>
      </c>
      <c r="F25" s="476" t="e">
        <f>F23*E25</f>
        <v>#REF!</v>
      </c>
      <c r="G25" s="477"/>
      <c r="H25" s="477"/>
      <c r="I25" s="478"/>
      <c r="J25" s="19"/>
      <c r="K25" s="501" t="e">
        <f t="shared" si="1"/>
        <v>#REF!</v>
      </c>
      <c r="L25" s="501"/>
      <c r="M25" s="46" t="e">
        <f t="shared" si="2"/>
        <v>#REF!</v>
      </c>
      <c r="N25" s="502" t="e">
        <f>IF($E$30&gt;7,$F$30,"")</f>
        <v>#REF!</v>
      </c>
      <c r="O25" s="503"/>
      <c r="P25" s="127"/>
      <c r="Q25" s="128"/>
      <c r="T25" s="140" t="s">
        <v>194</v>
      </c>
      <c r="U25" s="46">
        <f t="shared" ca="1" si="3"/>
        <v>46101</v>
      </c>
      <c r="AV25" s="1"/>
    </row>
    <row r="26" spans="1:48">
      <c r="A26" s="18"/>
      <c r="B26" s="498" t="s">
        <v>195</v>
      </c>
      <c r="C26" s="498"/>
      <c r="D26" s="42" t="str">
        <f>D25</f>
        <v>:</v>
      </c>
      <c r="E26" s="57"/>
      <c r="F26" s="58"/>
      <c r="G26" s="58"/>
      <c r="H26" s="499"/>
      <c r="I26" s="500"/>
      <c r="J26" s="19"/>
      <c r="K26" s="501" t="e">
        <f t="shared" si="1"/>
        <v>#REF!</v>
      </c>
      <c r="L26" s="501"/>
      <c r="M26" s="46" t="e">
        <f t="shared" si="2"/>
        <v>#REF!</v>
      </c>
      <c r="N26" s="502" t="e">
        <f>IF($E$30&gt;8,$F$30,"")</f>
        <v>#REF!</v>
      </c>
      <c r="O26" s="503"/>
      <c r="P26" s="127"/>
      <c r="Q26" s="128"/>
      <c r="T26" s="140" t="s">
        <v>196</v>
      </c>
      <c r="U26" s="46">
        <f t="shared" ca="1" si="3"/>
        <v>46132</v>
      </c>
      <c r="AV26" s="1"/>
    </row>
    <row r="27" spans="1:48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1" t="e">
        <f t="shared" si="1"/>
        <v>#REF!</v>
      </c>
      <c r="L27" s="501"/>
      <c r="M27" s="46" t="e">
        <f t="shared" si="2"/>
        <v>#REF!</v>
      </c>
      <c r="N27" s="502" t="e">
        <f>IF($E$30&gt;9,$F$30,"")</f>
        <v>#REF!</v>
      </c>
      <c r="O27" s="503"/>
      <c r="P27" s="127"/>
      <c r="Q27" s="128"/>
      <c r="T27" s="140" t="s">
        <v>198</v>
      </c>
      <c r="U27" s="46">
        <f t="shared" ca="1" si="3"/>
        <v>46162</v>
      </c>
      <c r="AV27" s="1"/>
    </row>
    <row r="28" spans="1:48">
      <c r="A28" s="18"/>
      <c r="B28" s="44" t="s">
        <v>199</v>
      </c>
      <c r="C28" s="45"/>
      <c r="D28" s="17" t="s">
        <v>73</v>
      </c>
      <c r="E28" s="59"/>
      <c r="F28" s="476" t="e">
        <f>F25-F26-F27</f>
        <v>#REF!</v>
      </c>
      <c r="G28" s="477"/>
      <c r="H28" s="477"/>
      <c r="I28" s="478"/>
      <c r="J28" s="19"/>
      <c r="K28" s="501" t="e">
        <f t="shared" si="1"/>
        <v>#REF!</v>
      </c>
      <c r="L28" s="501"/>
      <c r="M28" s="46" t="e">
        <f t="shared" si="2"/>
        <v>#REF!</v>
      </c>
      <c r="N28" s="502" t="e">
        <f>IF($E$30&gt;10,$F$30,"")</f>
        <v>#REF!</v>
      </c>
      <c r="O28" s="503"/>
      <c r="P28" s="127"/>
      <c r="Q28" s="128"/>
      <c r="T28" s="140" t="s">
        <v>200</v>
      </c>
      <c r="U28" s="46">
        <f t="shared" ca="1" si="3"/>
        <v>46193</v>
      </c>
      <c r="AV28" s="1"/>
    </row>
    <row r="29" spans="1:48">
      <c r="A29" s="18"/>
      <c r="B29" s="35"/>
      <c r="C29" s="20"/>
      <c r="D29" s="26"/>
      <c r="E29" s="17"/>
      <c r="F29" s="47"/>
      <c r="G29" s="54"/>
      <c r="H29" s="54"/>
      <c r="I29" s="54"/>
      <c r="J29" s="19"/>
      <c r="K29" s="501" t="e">
        <f t="shared" si="1"/>
        <v>#REF!</v>
      </c>
      <c r="L29" s="501"/>
      <c r="M29" s="46" t="e">
        <f t="shared" si="2"/>
        <v>#REF!</v>
      </c>
      <c r="N29" s="490" t="e">
        <f>IF($E$30&gt;11,$F$30,"")</f>
        <v>#REF!</v>
      </c>
      <c r="O29" s="490"/>
      <c r="P29" s="127"/>
      <c r="Q29" s="128"/>
      <c r="T29" s="140" t="s">
        <v>201</v>
      </c>
      <c r="U29" s="46">
        <f t="shared" ca="1" si="3"/>
        <v>46223</v>
      </c>
      <c r="AV29" s="1"/>
    </row>
    <row r="30" spans="1:48">
      <c r="A30" s="64"/>
      <c r="B30" s="475" t="s">
        <v>202</v>
      </c>
      <c r="C30" s="475"/>
      <c r="D30" s="17" t="s">
        <v>73</v>
      </c>
      <c r="E30" s="141" t="e">
        <f>'Pricelist Standard'!#REF!</f>
        <v>#REF!</v>
      </c>
      <c r="F30" s="476" t="e">
        <f>F28/E30</f>
        <v>#REF!</v>
      </c>
      <c r="G30" s="477"/>
      <c r="H30" s="477"/>
      <c r="I30" s="478"/>
      <c r="J30" s="19"/>
      <c r="K30" s="492" t="s">
        <v>203</v>
      </c>
      <c r="L30" s="492"/>
      <c r="M30" s="46" t="e">
        <f>IF(N30&gt;1,U30,"")</f>
        <v>#REF!</v>
      </c>
      <c r="N30" s="493" t="e">
        <f>F34</f>
        <v>#REF!</v>
      </c>
      <c r="O30" s="493"/>
      <c r="P30" s="494"/>
      <c r="Q30" s="495"/>
      <c r="T30" s="123" t="s">
        <v>204</v>
      </c>
      <c r="U30" s="46">
        <f t="shared" ca="1" si="3"/>
        <v>46254</v>
      </c>
      <c r="AV30" s="1"/>
    </row>
    <row r="31" spans="1:48" hidden="1">
      <c r="A31" s="18"/>
      <c r="B31" s="20"/>
      <c r="C31" s="35"/>
      <c r="D31" s="26"/>
      <c r="E31" s="65"/>
      <c r="F31" s="47"/>
      <c r="G31" s="47"/>
      <c r="H31" s="47"/>
      <c r="I31" s="47"/>
      <c r="J31" s="19"/>
      <c r="K31" s="17"/>
      <c r="L31" s="17"/>
      <c r="M31" s="68"/>
      <c r="N31" s="121"/>
      <c r="O31" s="121"/>
      <c r="P31" s="122"/>
      <c r="Q31" s="122"/>
      <c r="T31" s="123"/>
      <c r="U31" s="46"/>
      <c r="AV31" s="1"/>
    </row>
    <row r="32" spans="1:48" hidden="1">
      <c r="A32" s="18"/>
      <c r="B32" s="475" t="s">
        <v>205</v>
      </c>
      <c r="C32" s="475"/>
      <c r="D32" s="17" t="s">
        <v>73</v>
      </c>
      <c r="E32" s="124">
        <v>0</v>
      </c>
      <c r="F32" s="476" t="e">
        <f>F23*E32</f>
        <v>#REF!</v>
      </c>
      <c r="G32" s="477"/>
      <c r="H32" s="477"/>
      <c r="I32" s="478"/>
      <c r="J32" s="19"/>
      <c r="K32" s="17"/>
      <c r="L32" s="17"/>
      <c r="M32" s="68"/>
      <c r="N32" s="121" t="e">
        <f>SUM(N17:O31)</f>
        <v>#REF!</v>
      </c>
      <c r="O32" s="121"/>
      <c r="P32" s="122"/>
      <c r="Q32" s="122"/>
      <c r="T32" s="123"/>
      <c r="U32" s="46"/>
      <c r="AV32" s="1"/>
    </row>
    <row r="33" spans="1:48">
      <c r="A33" s="18"/>
      <c r="B33" s="20"/>
      <c r="C33" s="35"/>
      <c r="D33" s="26"/>
      <c r="E33" s="65"/>
      <c r="F33" s="47"/>
      <c r="G33" s="47"/>
      <c r="H33" s="47"/>
      <c r="I33" s="47"/>
      <c r="J33" s="19"/>
      <c r="K33" s="496"/>
      <c r="L33" s="496"/>
      <c r="M33" s="68"/>
      <c r="N33" s="497"/>
      <c r="O33" s="497"/>
      <c r="P33" s="69"/>
      <c r="Q33" s="19"/>
      <c r="T33" s="123" t="s">
        <v>206</v>
      </c>
      <c r="U33" s="46">
        <f ca="1">IF(AND(DAY(U30)&gt;=6,DAY(U30)&lt;=20),DATE(YEAR(U30),MONTH(U30)+1,DAY(20)),IF(AND(DAY(U30)&gt;=21,DAY(U30)&lt;=30),DATE(YEAR(U30),MONTH(U30)+1,IF(DAY(EOMONTH(U30,1))&lt;30,DAY(EOMONTH(U30,1)),DAY(30))),DATE(YEAR(U30),MONTH(U30)+1,DAY(5))))</f>
        <v>46285</v>
      </c>
      <c r="AV33" s="1"/>
    </row>
    <row r="34" spans="1:48">
      <c r="A34" s="18"/>
      <c r="B34" s="44" t="s">
        <v>207</v>
      </c>
      <c r="C34" s="44"/>
      <c r="D34" s="17" t="s">
        <v>73</v>
      </c>
      <c r="E34" s="67">
        <f>100%-E25-E32</f>
        <v>0.95</v>
      </c>
      <c r="F34" s="476" t="e">
        <f>F23*E34</f>
        <v>#REF!</v>
      </c>
      <c r="G34" s="477"/>
      <c r="H34" s="477"/>
      <c r="I34" s="478"/>
      <c r="J34" s="19"/>
      <c r="T34" s="123" t="s">
        <v>208</v>
      </c>
      <c r="U34" s="46">
        <f t="shared" ca="1" si="3"/>
        <v>46315</v>
      </c>
      <c r="AV34" s="1"/>
    </row>
    <row r="35" spans="1:48">
      <c r="A35" s="18"/>
      <c r="B35" s="20"/>
      <c r="C35" s="35"/>
      <c r="D35" s="65"/>
      <c r="E35" s="65"/>
      <c r="F35" s="65"/>
      <c r="G35" s="70"/>
      <c r="H35" s="70"/>
      <c r="I35" s="70"/>
      <c r="J35" s="17"/>
      <c r="T35" s="123" t="s">
        <v>209</v>
      </c>
      <c r="U35" s="46">
        <f t="shared" ca="1" si="3"/>
        <v>46346</v>
      </c>
      <c r="AV35" s="1"/>
    </row>
    <row r="36" spans="1:48">
      <c r="A36" s="18"/>
      <c r="B36" s="45" t="s">
        <v>210</v>
      </c>
      <c r="C36" s="44"/>
      <c r="D36" s="71"/>
      <c r="E36" s="72"/>
      <c r="F36" s="73"/>
      <c r="G36" s="70"/>
      <c r="H36" s="70"/>
      <c r="I36" s="70"/>
      <c r="J36" s="17"/>
      <c r="T36" s="123" t="s">
        <v>211</v>
      </c>
      <c r="U36" s="46">
        <f t="shared" ca="1" si="3"/>
        <v>46376</v>
      </c>
      <c r="AV36" s="1"/>
    </row>
    <row r="37" spans="1:48">
      <c r="A37" s="18"/>
      <c r="B37" s="18"/>
      <c r="C37" s="74"/>
      <c r="D37" s="74"/>
      <c r="E37" s="75"/>
      <c r="F37" s="71"/>
      <c r="G37" s="71"/>
      <c r="H37" s="71"/>
      <c r="I37" s="71"/>
      <c r="J37" s="74"/>
      <c r="K37" s="74"/>
      <c r="L37" s="74"/>
      <c r="M37" s="74"/>
      <c r="N37" s="74"/>
      <c r="O37" s="74"/>
      <c r="P37" s="74"/>
      <c r="Q37" s="74"/>
      <c r="R37" s="74"/>
      <c r="T37" s="123" t="s">
        <v>212</v>
      </c>
      <c r="U37" s="46">
        <f t="shared" ca="1" si="3"/>
        <v>46407</v>
      </c>
      <c r="AV37" s="1"/>
    </row>
    <row r="38" spans="1:48">
      <c r="A38" s="18"/>
      <c r="B38" s="76" t="s">
        <v>213</v>
      </c>
      <c r="C38" s="76" t="s">
        <v>214</v>
      </c>
      <c r="D38" s="76" t="s">
        <v>215</v>
      </c>
      <c r="E38" s="76" t="s">
        <v>216</v>
      </c>
      <c r="F38" s="489" t="s">
        <v>217</v>
      </c>
      <c r="G38" s="489"/>
      <c r="H38" s="489"/>
      <c r="I38" s="489"/>
      <c r="J38" s="19"/>
      <c r="K38" s="19" t="s">
        <v>218</v>
      </c>
      <c r="L38" s="18"/>
      <c r="M38" s="18"/>
      <c r="N38" s="18"/>
      <c r="O38" s="19" t="s">
        <v>219</v>
      </c>
      <c r="P38" s="18"/>
      <c r="Q38" s="18"/>
      <c r="R38" s="18"/>
      <c r="T38" s="123" t="s">
        <v>220</v>
      </c>
      <c r="U38" s="46">
        <f t="shared" ca="1" si="3"/>
        <v>46438</v>
      </c>
      <c r="AV38" s="1"/>
    </row>
    <row r="39" spans="1:48">
      <c r="A39" s="18"/>
      <c r="B39" s="77">
        <v>5</v>
      </c>
      <c r="C39" s="78">
        <v>7.0000000000000007E-2</v>
      </c>
      <c r="D39" s="79">
        <f>PMT(C39/12,B39*12,-1)</f>
        <v>1.9801198540349535E-2</v>
      </c>
      <c r="E39" s="80" t="e">
        <f>F34*D39</f>
        <v>#REF!</v>
      </c>
      <c r="F39" s="490" t="e">
        <f>E39/0.33</f>
        <v>#REF!</v>
      </c>
      <c r="G39" s="490"/>
      <c r="H39" s="490"/>
      <c r="I39" s="490"/>
      <c r="J39" s="19"/>
      <c r="K39" s="18"/>
      <c r="L39" s="18"/>
      <c r="M39" s="26"/>
      <c r="N39" s="18"/>
      <c r="O39" s="18"/>
      <c r="P39" s="18"/>
      <c r="Q39" s="18"/>
      <c r="R39" s="18"/>
      <c r="T39" s="123" t="s">
        <v>221</v>
      </c>
      <c r="U39" s="46">
        <f t="shared" ca="1" si="3"/>
        <v>46466</v>
      </c>
      <c r="AV39" s="1"/>
    </row>
    <row r="40" spans="1:48">
      <c r="A40" s="18"/>
      <c r="B40" s="77">
        <v>10</v>
      </c>
      <c r="C40" s="78">
        <v>7.0000000000000007E-2</v>
      </c>
      <c r="D40" s="79">
        <f>PMT(C40/12,B40*12,-1)</f>
        <v>1.1610847921862406E-2</v>
      </c>
      <c r="E40" s="80" t="e">
        <f>F34*D40</f>
        <v>#REF!</v>
      </c>
      <c r="F40" s="490" t="e">
        <f>E40/0.33</f>
        <v>#REF!</v>
      </c>
      <c r="G40" s="490"/>
      <c r="H40" s="490"/>
      <c r="I40" s="490"/>
      <c r="J40" s="19"/>
      <c r="K40" s="18"/>
      <c r="L40" s="18"/>
      <c r="M40" s="26"/>
      <c r="N40" s="18"/>
      <c r="O40" s="18"/>
      <c r="P40" s="18"/>
      <c r="Q40" s="18"/>
      <c r="R40" s="18"/>
      <c r="T40" s="123" t="s">
        <v>222</v>
      </c>
      <c r="U40" s="46">
        <f t="shared" ca="1" si="3"/>
        <v>46497</v>
      </c>
      <c r="AV40" s="1"/>
    </row>
    <row r="41" spans="1:48">
      <c r="A41" s="18"/>
      <c r="B41" s="77">
        <v>15</v>
      </c>
      <c r="C41" s="78">
        <v>7.0000000000000007E-2</v>
      </c>
      <c r="D41" s="79">
        <f t="shared" ref="D41:D42" si="4">PMT(C41/12,B41*12,-1)</f>
        <v>8.988282708524269E-3</v>
      </c>
      <c r="E41" s="80" t="e">
        <f>F34*D41</f>
        <v>#REF!</v>
      </c>
      <c r="F41" s="490" t="e">
        <f>E41/0.33</f>
        <v>#REF!</v>
      </c>
      <c r="G41" s="490"/>
      <c r="H41" s="490"/>
      <c r="I41" s="490"/>
      <c r="J41" s="19"/>
      <c r="K41" s="491"/>
      <c r="L41" s="491"/>
      <c r="M41" s="491"/>
      <c r="N41" s="19"/>
      <c r="O41" s="125"/>
      <c r="P41" s="125"/>
      <c r="Q41" s="125"/>
      <c r="R41" s="126"/>
      <c r="T41" s="123" t="s">
        <v>223</v>
      </c>
      <c r="U41" s="46">
        <f t="shared" ca="1" si="3"/>
        <v>46527</v>
      </c>
      <c r="AV41" s="1"/>
    </row>
    <row r="42" spans="1:48">
      <c r="A42" s="18"/>
      <c r="B42" s="77">
        <v>20</v>
      </c>
      <c r="C42" s="78">
        <v>7.0000000000000007E-2</v>
      </c>
      <c r="D42" s="79">
        <f t="shared" si="4"/>
        <v>7.7529893561887461E-3</v>
      </c>
      <c r="E42" s="80" t="e">
        <f>F34*D42</f>
        <v>#REF!</v>
      </c>
      <c r="F42" s="490" t="e">
        <f>E42/0.33</f>
        <v>#REF!</v>
      </c>
      <c r="G42" s="490"/>
      <c r="H42" s="490"/>
      <c r="I42" s="490"/>
      <c r="J42" s="19"/>
      <c r="K42" s="86" t="s">
        <v>224</v>
      </c>
      <c r="L42" s="487"/>
      <c r="M42" s="487"/>
      <c r="N42" s="18"/>
      <c r="O42" s="488" t="s">
        <v>225</v>
      </c>
      <c r="P42" s="488"/>
      <c r="Q42" s="488"/>
      <c r="R42" s="126"/>
      <c r="T42" s="123"/>
      <c r="U42" s="46"/>
      <c r="AV42" s="1"/>
    </row>
    <row r="43" spans="1:48" ht="14.25">
      <c r="A43" s="18"/>
      <c r="B43" s="81" t="s">
        <v>226</v>
      </c>
      <c r="C43" s="82"/>
      <c r="D43" s="83"/>
      <c r="E43" s="129"/>
      <c r="F43" s="130"/>
      <c r="G43" s="130"/>
      <c r="H43" s="130"/>
      <c r="I43" s="130"/>
      <c r="J43" s="19"/>
      <c r="K43" s="89"/>
      <c r="L43" s="89"/>
      <c r="M43" s="89"/>
      <c r="N43" s="89"/>
      <c r="O43" s="89"/>
      <c r="P43" s="90"/>
      <c r="Q43" s="90"/>
      <c r="R43" s="126"/>
      <c r="T43" s="123"/>
      <c r="U43" s="46"/>
      <c r="AV43" s="1"/>
    </row>
    <row r="44" spans="1:48">
      <c r="A44" s="18"/>
      <c r="B44" s="81" t="s">
        <v>227</v>
      </c>
      <c r="C44" s="82"/>
      <c r="D44" s="83"/>
      <c r="E44" s="129"/>
      <c r="F44" s="130"/>
      <c r="G44" s="130"/>
      <c r="H44" s="130"/>
      <c r="I44" s="130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/>
      <c r="AV44" s="1"/>
    </row>
    <row r="45" spans="1:48">
      <c r="A45" s="18"/>
      <c r="B45" s="91" t="s">
        <v>228</v>
      </c>
      <c r="C45" s="82"/>
      <c r="D45" s="83"/>
      <c r="E45" s="129"/>
      <c r="F45" s="130"/>
      <c r="G45" s="130"/>
      <c r="H45" s="130"/>
      <c r="I45" s="130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/>
      <c r="AV45" s="1"/>
    </row>
    <row r="46" spans="1:48">
      <c r="A46" s="18"/>
      <c r="B46" s="91" t="s">
        <v>229</v>
      </c>
      <c r="C46" s="82"/>
      <c r="D46" s="83"/>
      <c r="E46" s="129"/>
      <c r="F46" s="130"/>
      <c r="G46" s="130"/>
      <c r="H46" s="130"/>
      <c r="I46" s="13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/>
      <c r="AV46" s="1"/>
    </row>
    <row r="47" spans="1:48">
      <c r="A47" s="18"/>
      <c r="B47" s="26"/>
      <c r="C47" s="82"/>
      <c r="D47" s="83"/>
      <c r="E47" s="129"/>
      <c r="F47" s="130"/>
      <c r="G47" s="130"/>
      <c r="H47" s="130"/>
      <c r="I47" s="13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/>
      <c r="AV47" s="1"/>
    </row>
    <row r="48" spans="1:48">
      <c r="A48" s="18"/>
      <c r="B48" s="19" t="s">
        <v>230</v>
      </c>
      <c r="C48" s="82"/>
      <c r="D48" s="83"/>
      <c r="E48" s="129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/>
      <c r="AV48" s="1"/>
    </row>
    <row r="49" spans="1:48">
      <c r="A49" s="18"/>
      <c r="B49" s="76" t="s">
        <v>213</v>
      </c>
      <c r="C49" s="76" t="s">
        <v>214</v>
      </c>
      <c r="D49" s="76" t="s">
        <v>215</v>
      </c>
      <c r="E49" s="76" t="s">
        <v>231</v>
      </c>
      <c r="F49" s="489" t="s">
        <v>217</v>
      </c>
      <c r="G49" s="489"/>
      <c r="H49" s="489"/>
      <c r="I49" s="489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/>
      <c r="AV49" s="1"/>
    </row>
    <row r="50" spans="1:48">
      <c r="A50" s="18"/>
      <c r="B50" s="78" t="s">
        <v>232</v>
      </c>
      <c r="C50" s="131">
        <v>0.16</v>
      </c>
      <c r="D50" s="79">
        <f>'Pricelist Standard'!AQ6</f>
        <v>2.4318057116359135E-2</v>
      </c>
      <c r="E50" s="80" t="e">
        <f>F34*D50</f>
        <v>#REF!</v>
      </c>
      <c r="F50" s="490" t="e">
        <f>E50/0.33</f>
        <v>#REF!</v>
      </c>
      <c r="G50" s="490"/>
      <c r="H50" s="490"/>
      <c r="I50" s="490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/>
      <c r="AV50" s="1"/>
    </row>
    <row r="51" spans="1:48">
      <c r="A51" s="18"/>
      <c r="B51" s="78" t="s">
        <v>233</v>
      </c>
      <c r="C51" s="131">
        <v>0.14000000000000001</v>
      </c>
      <c r="D51" s="79">
        <f>'Pricelist Standard'!AU6</f>
        <v>1.801851990409967E-2</v>
      </c>
      <c r="E51" s="80" t="e">
        <f>F34*D51</f>
        <v>#REF!</v>
      </c>
      <c r="F51" s="490" t="e">
        <f>E51/0.33</f>
        <v>#REF!</v>
      </c>
      <c r="G51" s="490"/>
      <c r="H51" s="490"/>
      <c r="I51" s="490"/>
      <c r="J51" s="19"/>
      <c r="K51" s="92"/>
      <c r="L51" s="18"/>
      <c r="M51" s="39"/>
      <c r="N51" s="18"/>
      <c r="O51" s="18"/>
      <c r="P51" s="18"/>
      <c r="Q51" s="18"/>
      <c r="R51" s="126"/>
      <c r="T51" s="123"/>
      <c r="U51" s="46"/>
      <c r="AV51" s="1"/>
    </row>
    <row r="52" spans="1:48">
      <c r="A52" s="18"/>
      <c r="B52" s="91" t="s">
        <v>228</v>
      </c>
      <c r="C52" s="82"/>
      <c r="D52" s="83"/>
      <c r="E52" s="129"/>
      <c r="F52" s="130"/>
      <c r="G52" s="130"/>
      <c r="H52" s="130"/>
      <c r="I52" s="130"/>
      <c r="J52" s="19"/>
      <c r="K52" s="92"/>
      <c r="L52" s="18"/>
      <c r="M52" s="39"/>
      <c r="N52" s="18"/>
      <c r="O52" s="18"/>
      <c r="P52" s="18"/>
      <c r="Q52" s="18"/>
      <c r="R52" s="18"/>
      <c r="T52" s="123" t="s">
        <v>234</v>
      </c>
      <c r="U52" s="46">
        <f ca="1">IF(AND(DAY(U41)&gt;=6,DAY(U41)&lt;=20),DATE(YEAR(U41),MONTH(U41)+1,DAY(20)),IF(AND(DAY(U41)&gt;=21,DAY(U41)&lt;=30),DATE(YEAR(U41),MONTH(U41)+1,IF(DAY(EOMONTH(U41,1))&lt;30,DAY(EOMONTH(U41,1)),DAY(30))),DATE(YEAR(U41),MONTH(U41)+1,DAY(5))))</f>
        <v>46558</v>
      </c>
      <c r="AL52" s="87">
        <v>3128865.99</v>
      </c>
      <c r="AV52" s="1"/>
    </row>
    <row r="53" spans="1:48" ht="14.25">
      <c r="A53" s="18"/>
      <c r="C53" s="82"/>
      <c r="D53" s="83"/>
      <c r="E53" s="84"/>
      <c r="F53" s="486"/>
      <c r="G53" s="486"/>
      <c r="H53" s="85"/>
      <c r="I53" s="18"/>
      <c r="J53" s="19"/>
      <c r="K53" s="92"/>
      <c r="L53" s="18"/>
      <c r="M53" s="39"/>
      <c r="N53" s="18"/>
      <c r="O53" s="18"/>
      <c r="P53" s="18"/>
      <c r="Q53" s="18"/>
      <c r="R53" s="90"/>
      <c r="T53" s="123" t="s">
        <v>235</v>
      </c>
      <c r="U53" s="46">
        <f t="shared" ca="1" si="3"/>
        <v>46588</v>
      </c>
      <c r="AV53" s="1"/>
    </row>
    <row r="54" spans="1:48">
      <c r="A54" s="18"/>
      <c r="C54" s="88"/>
      <c r="D54" s="26"/>
      <c r="E54" s="18"/>
      <c r="F54" s="18"/>
      <c r="G54" s="18"/>
      <c r="H54" s="18"/>
      <c r="I54" s="18"/>
      <c r="J54" s="19"/>
      <c r="K54" s="92"/>
      <c r="L54" s="18"/>
      <c r="M54" s="39"/>
      <c r="N54" s="18"/>
      <c r="O54" s="18"/>
      <c r="P54" s="18"/>
      <c r="Q54" s="18"/>
      <c r="T54" s="123" t="s">
        <v>236</v>
      </c>
      <c r="U54" s="46">
        <f t="shared" ca="1" si="3"/>
        <v>46619</v>
      </c>
      <c r="AV54" s="1"/>
    </row>
    <row r="55" spans="1:48">
      <c r="A55" s="18"/>
      <c r="C55" s="18"/>
      <c r="D55" s="26"/>
      <c r="E55" s="18"/>
      <c r="F55" s="18"/>
      <c r="G55" s="18"/>
      <c r="H55" s="18"/>
      <c r="I55" s="18"/>
      <c r="J55" s="17"/>
      <c r="K55" s="92"/>
      <c r="L55" s="18"/>
      <c r="M55" s="39"/>
      <c r="N55" s="18"/>
      <c r="O55" s="18"/>
      <c r="P55" s="18"/>
      <c r="Q55" s="18"/>
      <c r="T55" s="123" t="s">
        <v>237</v>
      </c>
      <c r="U55" s="46">
        <f t="shared" ca="1" si="3"/>
        <v>46650</v>
      </c>
      <c r="AV55" s="1"/>
    </row>
    <row r="56" spans="1:48">
      <c r="A56" s="18"/>
      <c r="C56" s="88"/>
      <c r="D56" s="26"/>
      <c r="E56" s="18"/>
      <c r="F56" s="18"/>
      <c r="G56" s="18"/>
      <c r="H56" s="18"/>
      <c r="I56" s="18"/>
      <c r="J56" s="26"/>
      <c r="K56" s="92"/>
      <c r="L56" s="18"/>
      <c r="M56" s="39"/>
      <c r="N56" s="18"/>
      <c r="O56" s="18"/>
      <c r="P56" s="18"/>
      <c r="Q56" s="18"/>
      <c r="T56" s="123" t="s">
        <v>238</v>
      </c>
      <c r="U56" s="46">
        <f t="shared" ca="1" si="3"/>
        <v>46680</v>
      </c>
      <c r="AV56" s="1"/>
    </row>
    <row r="57" spans="1:48">
      <c r="A57" s="18"/>
      <c r="B57" s="93"/>
      <c r="C57" s="18"/>
      <c r="D57" s="18"/>
      <c r="E57" s="18"/>
      <c r="F57" s="18"/>
      <c r="G57" s="18"/>
      <c r="H57" s="18"/>
      <c r="I57" s="18"/>
      <c r="J57" s="26"/>
      <c r="K57" s="92"/>
      <c r="L57" s="18"/>
      <c r="M57" s="39"/>
      <c r="N57" s="18"/>
      <c r="O57" s="18"/>
      <c r="P57" s="18"/>
      <c r="Q57" s="18"/>
      <c r="T57" s="123" t="s">
        <v>239</v>
      </c>
      <c r="U57" s="137">
        <f t="shared" ca="1" si="3"/>
        <v>46711</v>
      </c>
      <c r="AV57" s="1"/>
    </row>
    <row r="58" spans="1:48">
      <c r="A58" s="18"/>
      <c r="J58" s="26"/>
      <c r="K58" s="19"/>
      <c r="L58" s="18"/>
      <c r="M58" s="18"/>
      <c r="N58" s="18"/>
      <c r="O58" s="19"/>
      <c r="P58" s="18"/>
      <c r="Q58" s="18"/>
      <c r="T58" s="123"/>
      <c r="U58" s="138"/>
      <c r="AH58" s="1"/>
      <c r="AU58" s="1"/>
      <c r="AV58" s="1"/>
    </row>
    <row r="59" spans="1:48">
      <c r="A59" s="18"/>
      <c r="J59" s="26"/>
      <c r="K59" s="18"/>
      <c r="L59" s="18"/>
      <c r="M59" s="26"/>
      <c r="N59" s="18"/>
      <c r="O59" s="18"/>
      <c r="P59" s="18"/>
      <c r="Q59" s="18"/>
      <c r="T59" s="123"/>
      <c r="U59" s="138"/>
      <c r="AH59" s="1"/>
      <c r="AU59" s="1"/>
      <c r="AV59" s="1"/>
    </row>
    <row r="60" spans="1:48" ht="15" customHeight="1">
      <c r="A60" s="18"/>
      <c r="J60" s="17"/>
      <c r="K60" s="18"/>
      <c r="L60" s="18"/>
      <c r="M60" s="26"/>
      <c r="N60" s="18"/>
      <c r="O60" s="18"/>
      <c r="P60" s="18"/>
      <c r="Q60" s="18"/>
      <c r="T60" s="132"/>
      <c r="U60" s="138"/>
      <c r="AH60" s="1"/>
      <c r="AU60" s="1"/>
      <c r="AV60" s="1"/>
    </row>
    <row r="61" spans="1:48">
      <c r="A61" s="18"/>
      <c r="J61" s="17"/>
      <c r="K61" s="484"/>
      <c r="L61" s="484"/>
      <c r="M61" s="484"/>
      <c r="N61" s="19"/>
      <c r="O61" s="484"/>
      <c r="P61" s="484"/>
      <c r="Q61" s="484"/>
      <c r="T61" s="132"/>
      <c r="U61" s="138"/>
      <c r="AH61" s="1"/>
      <c r="AU61" s="1"/>
      <c r="AV61" s="1"/>
    </row>
    <row r="62" spans="1:48" ht="15" customHeight="1">
      <c r="A62" s="18"/>
      <c r="J62" s="71"/>
      <c r="K62" s="18"/>
      <c r="L62" s="474"/>
      <c r="M62" s="474"/>
      <c r="N62" s="18"/>
      <c r="O62" s="485"/>
      <c r="P62" s="485"/>
      <c r="Q62" s="485"/>
      <c r="T62" s="123"/>
      <c r="U62" s="138"/>
      <c r="AH62" s="1"/>
      <c r="AU62" s="1"/>
      <c r="AV62" s="1"/>
    </row>
    <row r="63" spans="1:48">
      <c r="A63" s="18"/>
      <c r="J63" s="71"/>
      <c r="K63" s="92"/>
      <c r="L63" s="18"/>
      <c r="M63" s="84"/>
      <c r="N63" s="18"/>
      <c r="O63" s="18"/>
      <c r="P63" s="18"/>
      <c r="Q63" s="18"/>
      <c r="T63" s="123"/>
      <c r="U63" s="138"/>
      <c r="AH63" s="1"/>
      <c r="AU63" s="1"/>
      <c r="AV63" s="1"/>
    </row>
    <row r="64" spans="1:48" ht="15" customHeight="1">
      <c r="A64" s="18"/>
      <c r="J64" s="71"/>
      <c r="K64" s="92"/>
      <c r="L64" s="18"/>
      <c r="M64" s="84"/>
      <c r="N64" s="18"/>
      <c r="O64" s="18"/>
      <c r="P64" s="18"/>
      <c r="Q64" s="18"/>
      <c r="T64" s="123"/>
      <c r="U64" s="138"/>
      <c r="AH64" s="1"/>
      <c r="AU64" s="1"/>
      <c r="AV64" s="1"/>
    </row>
    <row r="65" spans="1:48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240</v>
      </c>
      <c r="U65" s="139">
        <f t="shared" si="3"/>
        <v>36</v>
      </c>
      <c r="AH65" s="1"/>
      <c r="AU65" s="1"/>
      <c r="AV65" s="1"/>
    </row>
    <row r="66" spans="1:48" ht="15" customHeight="1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241</v>
      </c>
      <c r="U66" s="46">
        <f>IF(AND(DAY(U65)&gt;=6,DAY(U65)&lt;=20),DATE(YEAR(U65),MONTH(U65)+1,DAY(20)),IF(AND(DAY(U65)&gt;=21,DAY(U65)&lt;=30),DATE(YEAR(U65),MONTH(U65)+1,IF(DAY(EOMONTH(U65,1))&lt;30,DAY(EOMONTH(U65,1)),DAY(30))),DATE(YEAR(U65),MONTH(U65)+1,DAY(5))))</f>
        <v>65</v>
      </c>
      <c r="AH66" s="1"/>
      <c r="AU66" s="1"/>
      <c r="AV66" s="1"/>
    </row>
    <row r="67" spans="1:48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242</v>
      </c>
      <c r="U67" s="46">
        <f t="shared" si="3"/>
        <v>96</v>
      </c>
      <c r="AH67" s="1"/>
      <c r="AU67" s="1"/>
      <c r="AV67" s="1"/>
    </row>
    <row r="68" spans="1:48" ht="15" customHeight="1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243</v>
      </c>
      <c r="U68" s="46">
        <f t="shared" si="3"/>
        <v>126</v>
      </c>
      <c r="AH68" s="1"/>
      <c r="AU68" s="1"/>
      <c r="AV68" s="1"/>
    </row>
    <row r="69" spans="1:48">
      <c r="A69" s="18"/>
      <c r="B69" s="482"/>
      <c r="C69" s="482"/>
      <c r="D69" s="482"/>
      <c r="E69" s="482"/>
      <c r="F69" s="482"/>
      <c r="G69" s="483"/>
      <c r="H69" s="483"/>
      <c r="I69" s="483"/>
      <c r="J69" s="18"/>
      <c r="K69" s="92"/>
      <c r="L69" s="18"/>
      <c r="M69" s="39"/>
      <c r="N69" s="18"/>
      <c r="O69" s="18"/>
      <c r="P69" s="18"/>
      <c r="Q69" s="18"/>
      <c r="T69" s="123" t="s">
        <v>244</v>
      </c>
      <c r="U69" s="46">
        <f t="shared" si="3"/>
        <v>157</v>
      </c>
      <c r="AH69" s="1"/>
      <c r="AU69" s="1"/>
      <c r="AV69" s="1"/>
    </row>
    <row r="70" spans="1:48" ht="12.75" customHeight="1">
      <c r="A70" s="18"/>
      <c r="B70" s="482"/>
      <c r="C70" s="482"/>
      <c r="D70" s="482"/>
      <c r="E70" s="482"/>
      <c r="F70" s="482"/>
      <c r="G70" s="483"/>
      <c r="H70" s="483"/>
      <c r="I70" s="483"/>
      <c r="J70" s="71"/>
      <c r="K70" s="92"/>
      <c r="L70" s="18"/>
      <c r="M70" s="39"/>
      <c r="N70" s="18"/>
      <c r="O70" s="18"/>
      <c r="P70" s="18"/>
      <c r="Q70" s="18"/>
      <c r="T70" s="123" t="s">
        <v>245</v>
      </c>
      <c r="U70" s="46">
        <f t="shared" si="3"/>
        <v>187</v>
      </c>
      <c r="AH70" s="1"/>
      <c r="AU70" s="1"/>
      <c r="AV70" s="1"/>
    </row>
    <row r="71" spans="1:48">
      <c r="A71" s="18"/>
      <c r="B71" s="482"/>
      <c r="C71" s="482"/>
      <c r="D71" s="482"/>
      <c r="E71" s="482"/>
      <c r="F71" s="482"/>
      <c r="G71" s="483"/>
      <c r="H71" s="483"/>
      <c r="I71" s="483"/>
      <c r="J71" s="71"/>
      <c r="K71" s="92"/>
      <c r="L71" s="18"/>
      <c r="M71" s="39"/>
      <c r="N71" s="18"/>
      <c r="O71" s="18"/>
      <c r="P71" s="18"/>
      <c r="Q71" s="18"/>
      <c r="T71" s="123" t="s">
        <v>246</v>
      </c>
      <c r="U71" s="46">
        <f t="shared" si="3"/>
        <v>218</v>
      </c>
      <c r="AH71" s="1"/>
      <c r="AU71" s="1"/>
      <c r="AV71" s="1"/>
    </row>
    <row r="72" spans="1:48">
      <c r="A72" s="18"/>
      <c r="B72" s="482"/>
      <c r="C72" s="482"/>
      <c r="D72" s="482"/>
      <c r="E72" s="482"/>
      <c r="F72" s="482"/>
      <c r="G72" s="483"/>
      <c r="H72" s="483"/>
      <c r="I72" s="483"/>
      <c r="J72" s="71"/>
      <c r="K72" s="92"/>
      <c r="L72" s="18"/>
      <c r="M72" s="39"/>
      <c r="N72" s="18"/>
      <c r="O72" s="18"/>
      <c r="P72" s="18"/>
      <c r="Q72" s="18"/>
      <c r="T72" s="123" t="s">
        <v>247</v>
      </c>
      <c r="U72" s="46">
        <f t="shared" si="3"/>
        <v>249</v>
      </c>
      <c r="AH72" s="1"/>
      <c r="AU72" s="1"/>
      <c r="AV72" s="1"/>
    </row>
    <row r="73" spans="1:48">
      <c r="A73" s="18"/>
      <c r="B73" s="93"/>
      <c r="C73" s="18"/>
      <c r="D73" s="18"/>
      <c r="E73" s="18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248</v>
      </c>
      <c r="U73" s="46">
        <f t="shared" si="3"/>
        <v>279</v>
      </c>
      <c r="AH73" s="1"/>
      <c r="AU73" s="1"/>
      <c r="AV73" s="1"/>
    </row>
    <row r="74" spans="1:48">
      <c r="A74" s="18"/>
      <c r="C74" s="93"/>
      <c r="D74" s="479"/>
      <c r="E74" s="480"/>
      <c r="F74" s="480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249</v>
      </c>
      <c r="U74" s="46">
        <f>IF(AND(DAY(U73)&gt;=6,DAY(U73)&lt;=20),DATE(YEAR(U73),MONTH(U73)+1,DAY(20)),IF(AND(DAY(U73)&gt;=21,DAY(U73)&lt;=30),DATE(YEAR(U73),MONTH(U73)+1,IF(DAY(EOMONTH(U73,1))&lt;30,DAY(EOMONTH(U73,1)),DAY(30))),DATE(YEAR(U73),MONTH(U73)+1,DAY(5))))</f>
        <v>310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T75" s="123" t="s">
        <v>250</v>
      </c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B77" s="93"/>
      <c r="C77" s="18"/>
      <c r="D77" s="94"/>
      <c r="E77" s="94"/>
      <c r="F77" s="18"/>
      <c r="G77" s="18"/>
      <c r="H77" s="18"/>
      <c r="I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>
      <c r="A78" s="18"/>
      <c r="B78" s="93"/>
      <c r="C78" s="18"/>
      <c r="D78" s="94"/>
      <c r="E78" s="94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B79" s="93"/>
      <c r="C79" s="18"/>
      <c r="D79" s="94"/>
      <c r="E79" s="94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26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26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26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 ht="12" customHeight="1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2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0.5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AH229" s="1"/>
      <c r="AU229" s="1"/>
      <c r="AV229" s="1"/>
    </row>
    <row r="230" spans="1:48" ht="12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AH230" s="1"/>
      <c r="AU230" s="1"/>
      <c r="AV230" s="1"/>
    </row>
    <row r="231" spans="1:48" ht="13.5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39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18"/>
      <c r="L232" s="18"/>
      <c r="M232" s="26"/>
      <c r="N232" s="18"/>
      <c r="O232" s="18"/>
      <c r="P232" s="18"/>
      <c r="Q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18"/>
      <c r="M233" s="26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8"/>
      <c r="L234" s="18"/>
      <c r="M234" s="26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81"/>
      <c r="L235" s="481"/>
      <c r="M235" s="481"/>
      <c r="N235" s="18"/>
      <c r="O235" s="18"/>
      <c r="P235" s="481"/>
      <c r="Q235" s="481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8"/>
      <c r="L236" s="474"/>
      <c r="M236" s="474"/>
      <c r="N236" s="18"/>
      <c r="O236" s="18"/>
      <c r="P236" s="18"/>
      <c r="Q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17"/>
      <c r="L237" s="18"/>
      <c r="M237" s="18"/>
      <c r="N237" s="18"/>
      <c r="O237" s="18"/>
      <c r="P237" s="18"/>
      <c r="Q237" s="18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9"/>
      <c r="L238" s="18"/>
      <c r="M238" s="18"/>
      <c r="N238" s="18"/>
      <c r="O238" s="18"/>
      <c r="P238" s="18"/>
      <c r="Q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7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93"/>
      <c r="C244" s="18"/>
      <c r="D244" s="18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93"/>
      <c r="C245" s="18"/>
      <c r="D245" s="18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93"/>
      <c r="C246" s="18"/>
      <c r="D246" s="18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26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26"/>
      <c r="E249" s="18"/>
      <c r="F249" s="18"/>
      <c r="G249" s="18"/>
      <c r="H249" s="18"/>
      <c r="I249" s="18"/>
      <c r="J249" s="71"/>
      <c r="K249" s="4"/>
      <c r="L249" s="1"/>
      <c r="AH249" s="1"/>
      <c r="AU249" s="1"/>
      <c r="AV249" s="1"/>
    </row>
    <row r="250" spans="1:48" ht="12" customHeight="1">
      <c r="A250" s="18"/>
      <c r="B250" s="18"/>
      <c r="C250" s="18"/>
      <c r="D250" s="26"/>
      <c r="E250" s="18"/>
      <c r="F250" s="18"/>
      <c r="G250" s="18"/>
      <c r="H250" s="18"/>
      <c r="I250" s="18"/>
      <c r="J250" s="18"/>
      <c r="K250" s="4"/>
      <c r="L250" s="1"/>
      <c r="AH250" s="1"/>
      <c r="AU250" s="1"/>
      <c r="AV250" s="1"/>
    </row>
    <row r="251" spans="1:48" ht="12" customHeight="1">
      <c r="B251" s="18"/>
      <c r="C251" s="18"/>
      <c r="D251" s="18"/>
      <c r="E251" s="18"/>
      <c r="F251" s="26"/>
      <c r="G251" s="26"/>
      <c r="H251" s="26"/>
      <c r="I251" s="26"/>
      <c r="J251" s="18"/>
      <c r="K251" s="4"/>
      <c r="L251" s="1"/>
      <c r="AH251" s="1"/>
      <c r="AU251" s="1"/>
      <c r="AV251" s="1"/>
    </row>
    <row r="252" spans="1:48" ht="12" customHeight="1">
      <c r="A252" s="95" t="e">
        <f>(F15-#REF!)*12%</f>
        <v>#REF!</v>
      </c>
      <c r="B252" s="18"/>
      <c r="C252" s="18"/>
      <c r="D252" s="18"/>
      <c r="E252" s="18"/>
      <c r="F252" s="18"/>
      <c r="G252" s="18"/>
      <c r="H252" s="18"/>
      <c r="I252" s="18"/>
      <c r="J252" s="18"/>
      <c r="K252" s="4"/>
      <c r="L252" s="1"/>
      <c r="AH252" s="1"/>
      <c r="AU252" s="1"/>
      <c r="AV252" s="1"/>
    </row>
    <row r="253" spans="1:48" ht="12" customHeight="1">
      <c r="A253" s="96"/>
      <c r="B253" s="18"/>
      <c r="C253" s="18"/>
      <c r="D253" s="97"/>
      <c r="E253" s="98"/>
      <c r="F253" s="98"/>
      <c r="G253" s="98"/>
      <c r="H253" s="98"/>
      <c r="I253" s="17"/>
      <c r="J253" s="18"/>
      <c r="AH253" s="1"/>
      <c r="AU253" s="1"/>
      <c r="AV253" s="1"/>
    </row>
    <row r="254" spans="1:48" ht="17.25" customHeight="1">
      <c r="B254" s="18"/>
      <c r="C254" s="18"/>
      <c r="D254" s="97"/>
      <c r="E254" s="98"/>
      <c r="F254" s="98"/>
      <c r="G254" s="98"/>
      <c r="H254" s="98"/>
      <c r="I254" s="19"/>
      <c r="J254" s="18"/>
      <c r="AH254" s="1"/>
      <c r="AU254" s="1"/>
      <c r="AV254" s="1"/>
    </row>
    <row r="255" spans="1:48" ht="15.75" customHeight="1">
      <c r="B255" s="95"/>
      <c r="D255" s="99"/>
      <c r="E255" s="100"/>
      <c r="F255" s="100"/>
      <c r="G255" s="100"/>
      <c r="H255" s="100"/>
      <c r="I255" s="17"/>
      <c r="J255" s="18"/>
      <c r="AH255" s="1"/>
      <c r="AU255" s="1"/>
      <c r="AV255" s="1"/>
    </row>
    <row r="256" spans="1:48" ht="12.75" customHeight="1">
      <c r="D256" s="99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J257" s="18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4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7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9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J263" s="17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1"/>
      <c r="AE396" s="102"/>
      <c r="AF396" s="101"/>
      <c r="AH396" s="1"/>
      <c r="AU396" s="1"/>
      <c r="AV396" s="1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2"/>
      <c r="AH397" s="104"/>
      <c r="AI397" s="105"/>
      <c r="AJ397" s="106"/>
      <c r="AK397" s="107"/>
      <c r="AL397" s="107"/>
      <c r="AM397" s="108"/>
      <c r="AN397" s="109"/>
      <c r="AO397" s="107"/>
      <c r="AP397" s="107"/>
      <c r="AQ397" s="110">
        <v>20000</v>
      </c>
      <c r="AR397" s="107"/>
      <c r="AS397" s="101">
        <v>24</v>
      </c>
      <c r="AT397" s="111"/>
      <c r="AU397" s="112"/>
      <c r="AV397" s="111"/>
      <c r="AW397" s="107"/>
      <c r="AX397" s="107"/>
      <c r="AY397" s="107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>
        <v>15000</v>
      </c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103"/>
      <c r="AE405" s="103"/>
      <c r="AF405" s="101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G406" s="103"/>
      <c r="AH406" s="113"/>
      <c r="AI406" s="114"/>
      <c r="AJ406" s="115"/>
      <c r="AK406" s="110"/>
      <c r="AL406" s="110"/>
      <c r="AM406" s="116"/>
      <c r="AN406" s="117"/>
      <c r="AO406" s="110"/>
      <c r="AP406" s="110"/>
      <c r="AQ406" s="110"/>
      <c r="AR406" s="110"/>
      <c r="AS406" s="103"/>
      <c r="AT406" s="118"/>
      <c r="AU406" s="119"/>
      <c r="AV406" s="118"/>
      <c r="AW406" s="110"/>
      <c r="AX406" s="110"/>
      <c r="AY406" s="110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D413" s="4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  <c r="AQ414" s="96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  <c r="AH421" s="12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2.75" customHeight="1">
      <c r="D754" s="99"/>
      <c r="E754" s="100"/>
      <c r="F754" s="100"/>
      <c r="G754" s="100"/>
      <c r="H754" s="100"/>
    </row>
    <row r="755" spans="4:8" ht="13.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</row>
    <row r="782" spans="4:28" ht="12.75" customHeight="1">
      <c r="D782" s="99"/>
      <c r="E782" s="100"/>
      <c r="F782" s="100"/>
      <c r="G782" s="100"/>
      <c r="H782" s="100"/>
      <c r="AB782" s="9">
        <v>1</v>
      </c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E792" s="100"/>
      <c r="F792" s="100"/>
      <c r="G792" s="100"/>
      <c r="H792" s="100"/>
    </row>
    <row r="793" spans="4:8" ht="12.75" customHeight="1">
      <c r="D793" s="99"/>
      <c r="E793" s="100"/>
      <c r="F793" s="100"/>
      <c r="G793" s="100"/>
      <c r="H793" s="100"/>
    </row>
    <row r="794" spans="4:8" ht="12.75" customHeight="1">
      <c r="D794" s="99"/>
      <c r="E794" s="100"/>
      <c r="F794" s="100"/>
      <c r="G794" s="100"/>
      <c r="H794" s="100"/>
    </row>
    <row r="795" spans="4:8" ht="12.75" customHeight="1">
      <c r="D795" s="99"/>
      <c r="F795" s="100"/>
      <c r="G795" s="100"/>
      <c r="H795" s="100"/>
    </row>
    <row r="796" spans="4:8" ht="12.75" customHeight="1">
      <c r="D796" s="99"/>
      <c r="F796" s="100"/>
      <c r="G796" s="100"/>
      <c r="H796" s="100"/>
    </row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.75" customHeight="1"/>
    <row r="805" ht="12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</sheetData>
  <sheetProtection algorithmName="SHA-512" hashValue="RZnvKrHXoYSKt8hD/BgOX9Hq7OkbrHTUSGf60+gPbmmdnGddOnDCiIbxrTnEW6jIF06aejsiB95CZMHP3R7D6g==" saltValue="8S/G7spTCeKBMt5TXuhv+w==" spinCount="100000" sheet="1" objects="1" scenarios="1"/>
  <mergeCells count="126">
    <mergeCell ref="B71:C72"/>
    <mergeCell ref="D71:F72"/>
    <mergeCell ref="G71:I72"/>
    <mergeCell ref="D74:F74"/>
    <mergeCell ref="K235:M235"/>
    <mergeCell ref="P235:Q235"/>
    <mergeCell ref="L236:M236"/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K10:L10"/>
    <mergeCell ref="N10:Q10"/>
    <mergeCell ref="E7:I7"/>
    <mergeCell ref="K7:L7"/>
    <mergeCell ref="N7:Q7"/>
    <mergeCell ref="E8:I8"/>
    <mergeCell ref="K8:L8"/>
    <mergeCell ref="N8:Q8"/>
    <mergeCell ref="E10:F10"/>
    <mergeCell ref="G10:I10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K20:L20"/>
    <mergeCell ref="N20:O20"/>
    <mergeCell ref="P20:Q20"/>
    <mergeCell ref="F20:I20"/>
    <mergeCell ref="K19:L19"/>
    <mergeCell ref="N19:O19"/>
    <mergeCell ref="P19:Q19"/>
    <mergeCell ref="W18:X18"/>
    <mergeCell ref="W19:X19"/>
    <mergeCell ref="W20:X20"/>
    <mergeCell ref="K21:L21"/>
    <mergeCell ref="N21:O21"/>
    <mergeCell ref="P21:Q21"/>
    <mergeCell ref="F23:I23"/>
    <mergeCell ref="K22:L22"/>
    <mergeCell ref="N22:O22"/>
    <mergeCell ref="P22:Q22"/>
    <mergeCell ref="B26:C26"/>
    <mergeCell ref="H26:I26"/>
    <mergeCell ref="K25:L25"/>
    <mergeCell ref="N25:O25"/>
    <mergeCell ref="K23:L23"/>
    <mergeCell ref="N23:O23"/>
    <mergeCell ref="P23:Q23"/>
    <mergeCell ref="F25:I25"/>
    <mergeCell ref="K24:L24"/>
    <mergeCell ref="N24:O24"/>
    <mergeCell ref="F21:I21"/>
    <mergeCell ref="B30:C30"/>
    <mergeCell ref="F30:I30"/>
    <mergeCell ref="B32:C32"/>
    <mergeCell ref="F32:I32"/>
    <mergeCell ref="F28:I28"/>
    <mergeCell ref="K28:L28"/>
    <mergeCell ref="N28:O28"/>
    <mergeCell ref="K26:L26"/>
    <mergeCell ref="N26:O26"/>
    <mergeCell ref="K27:L27"/>
    <mergeCell ref="N27:O27"/>
    <mergeCell ref="K29:L29"/>
    <mergeCell ref="N29:O29"/>
    <mergeCell ref="K30:L30"/>
    <mergeCell ref="N30:O30"/>
    <mergeCell ref="P30:Q30"/>
    <mergeCell ref="F38:I38"/>
    <mergeCell ref="F39:I39"/>
    <mergeCell ref="F34:I34"/>
    <mergeCell ref="K33:L33"/>
    <mergeCell ref="N33:O33"/>
    <mergeCell ref="F40:I40"/>
    <mergeCell ref="F41:I41"/>
    <mergeCell ref="F42:I42"/>
    <mergeCell ref="K41:M41"/>
    <mergeCell ref="B65:C66"/>
    <mergeCell ref="D65:F66"/>
    <mergeCell ref="G65:I66"/>
    <mergeCell ref="B67:C68"/>
    <mergeCell ref="D67:F68"/>
    <mergeCell ref="G67:I68"/>
    <mergeCell ref="B69:C70"/>
    <mergeCell ref="L42:M42"/>
    <mergeCell ref="O42:Q42"/>
    <mergeCell ref="F49:I49"/>
    <mergeCell ref="F50:I50"/>
    <mergeCell ref="F51:I51"/>
    <mergeCell ref="F53:G53"/>
    <mergeCell ref="K61:M61"/>
    <mergeCell ref="O61:Q61"/>
    <mergeCell ref="L62:M62"/>
    <mergeCell ref="O62:Q62"/>
    <mergeCell ref="D69:F70"/>
    <mergeCell ref="G69:I70"/>
  </mergeCell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73DA6-5EF8-4B96-9C66-8D2A6056AD4A}">
  <sheetPr codeName="Sheet8"/>
  <dimension ref="A1:AY869"/>
  <sheetViews>
    <sheetView topLeftCell="A26" zoomScale="90" zoomScaleNormal="90" workbookViewId="0">
      <selection activeCell="N30" sqref="N30:O30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hidden="1" customWidth="1"/>
    <col min="21" max="22" width="11.42578125" style="1" hidden="1" customWidth="1"/>
    <col min="23" max="24" width="8.85546875" style="1" hidden="1" customWidth="1"/>
    <col min="25" max="25" width="11.28515625" style="1" hidden="1" customWidth="1"/>
    <col min="26" max="26" width="8.85546875" style="1" hidden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39" t="s">
        <v>254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San Esteban Unit B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e">
        <f>'Pricelist Standard'!#REF!</f>
        <v>#REF!</v>
      </c>
      <c r="F10" s="543"/>
      <c r="G10" s="543" t="e">
        <f>'Pricelist Standard'!#REF!</f>
        <v>#REF!</v>
      </c>
      <c r="H10" s="533"/>
      <c r="I10" s="534"/>
      <c r="J10" s="17"/>
      <c r="K10" s="535" t="s">
        <v>169</v>
      </c>
      <c r="L10" s="535"/>
      <c r="M10" s="29" t="s">
        <v>73</v>
      </c>
      <c r="N10" s="536" t="e">
        <f t="shared" si="0"/>
        <v>#REF!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 t="e">
        <f>'Pricelist Standard'!#REF!</f>
        <v>#REF!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 t="e">
        <f t="shared" si="0"/>
        <v>#REF!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 t="e">
        <f>'Pricelist Standard'!#REF!</f>
        <v>#REF!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 t="e">
        <f t="shared" si="0"/>
        <v>#REF!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 t="e">
        <f>'Pricelist Standard'!#REF!</f>
        <v>#REF!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43"/>
      <c r="F16" s="551" t="e">
        <f>'Pricelist Standard'!#REF!</f>
        <v>#REF!</v>
      </c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41"/>
      <c r="F17" s="526" t="e">
        <f>F15-F16</f>
        <v>#REF!</v>
      </c>
      <c r="G17" s="526"/>
      <c r="H17" s="526"/>
      <c r="I17" s="527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EDATE(U17,#REF!)</f>
        <v>#REF!</v>
      </c>
    </row>
    <row r="18" spans="1:48" ht="13.9" customHeight="1">
      <c r="A18" s="18"/>
      <c r="B18" s="142" t="s">
        <v>180</v>
      </c>
      <c r="C18" s="45"/>
      <c r="D18" s="17"/>
      <c r="E18" s="145"/>
      <c r="F18" s="150" t="e">
        <f>F17/E11</f>
        <v>#REF!</v>
      </c>
      <c r="G18" s="146"/>
      <c r="H18" s="146"/>
      <c r="I18" s="147"/>
      <c r="J18" s="19"/>
      <c r="K18" s="504" t="s">
        <v>255</v>
      </c>
      <c r="L18" s="505"/>
      <c r="M18" s="46" t="e">
        <f>IF(N18="","",U18)</f>
        <v>#REF!</v>
      </c>
      <c r="N18" s="502" t="e">
        <f>F28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3.9" customHeight="1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4"/>
      <c r="L19" s="505"/>
      <c r="M19" s="46"/>
      <c r="N19" s="502"/>
      <c r="O19" s="503"/>
      <c r="P19" s="504"/>
      <c r="Q19" s="505"/>
      <c r="T19" s="140" t="s">
        <v>183</v>
      </c>
      <c r="U19" s="46">
        <f t="shared" ref="U19:U73" ca="1" si="1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3.9" customHeight="1">
      <c r="A20" s="30"/>
      <c r="B20" s="28" t="s">
        <v>185</v>
      </c>
      <c r="C20" s="28"/>
      <c r="D20" s="42" t="s">
        <v>73</v>
      </c>
      <c r="E20" s="50">
        <f>'Pricelist Standard'!AE7</f>
        <v>0</v>
      </c>
      <c r="F20" s="551" t="e">
        <f>F15*E20</f>
        <v>#REF!</v>
      </c>
      <c r="G20" s="551"/>
      <c r="H20" s="551"/>
      <c r="I20" s="552"/>
      <c r="J20" s="19"/>
      <c r="K20" s="504"/>
      <c r="L20" s="505"/>
      <c r="M20" s="46"/>
      <c r="N20" s="502"/>
      <c r="O20" s="503"/>
      <c r="P20" s="504"/>
      <c r="Q20" s="505"/>
      <c r="T20" s="140" t="s">
        <v>186</v>
      </c>
      <c r="U20" s="46">
        <f t="shared" ca="1" si="1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50">
        <f>'Pricelist Standard'!AD7</f>
        <v>7.0000000000000007E-2</v>
      </c>
      <c r="F21" s="548" t="e">
        <f>E21*F15</f>
        <v>#REF!</v>
      </c>
      <c r="G21" s="549"/>
      <c r="H21" s="549"/>
      <c r="I21" s="550"/>
      <c r="J21" s="19"/>
      <c r="K21" s="504"/>
      <c r="L21" s="505"/>
      <c r="M21" s="46"/>
      <c r="N21" s="502"/>
      <c r="O21" s="503"/>
      <c r="P21" s="504"/>
      <c r="Q21" s="505"/>
      <c r="T21" s="140" t="s">
        <v>189</v>
      </c>
      <c r="U21" s="46">
        <f t="shared" ca="1" si="1"/>
        <v>45981</v>
      </c>
      <c r="Y21" s="136"/>
      <c r="AV21" s="1"/>
    </row>
    <row r="22" spans="1:48" ht="13.15" customHeight="1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4"/>
      <c r="L22" s="505"/>
      <c r="M22" s="46"/>
      <c r="N22" s="502"/>
      <c r="O22" s="503"/>
      <c r="P22" s="504"/>
      <c r="Q22" s="505"/>
      <c r="T22" s="140" t="s">
        <v>190</v>
      </c>
      <c r="U22" s="46">
        <f t="shared" ca="1" si="1"/>
        <v>46011</v>
      </c>
      <c r="AV22" s="1"/>
    </row>
    <row r="23" spans="1:48" ht="13.15" customHeight="1">
      <c r="A23" s="18"/>
      <c r="B23" s="44" t="s">
        <v>17</v>
      </c>
      <c r="C23" s="45"/>
      <c r="D23" s="17" t="s">
        <v>73</v>
      </c>
      <c r="E23" s="51"/>
      <c r="F23" s="476" t="e">
        <f>F17+F20+F21</f>
        <v>#REF!</v>
      </c>
      <c r="G23" s="477"/>
      <c r="H23" s="477"/>
      <c r="I23" s="478"/>
      <c r="J23" s="19"/>
      <c r="K23" s="504"/>
      <c r="L23" s="505"/>
      <c r="M23" s="46"/>
      <c r="N23" s="502"/>
      <c r="O23" s="503"/>
      <c r="P23" s="504"/>
      <c r="Q23" s="505"/>
      <c r="T23" s="140" t="s">
        <v>191</v>
      </c>
      <c r="U23" s="46">
        <f t="shared" ca="1" si="1"/>
        <v>46042</v>
      </c>
      <c r="AV23" s="1"/>
    </row>
    <row r="24" spans="1:48" ht="15" customHeight="1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4"/>
      <c r="L24" s="505"/>
      <c r="M24" s="46"/>
      <c r="N24" s="502"/>
      <c r="O24" s="503"/>
      <c r="P24" s="127"/>
      <c r="Q24" s="128"/>
      <c r="T24" s="140" t="s">
        <v>192</v>
      </c>
      <c r="U24" s="46">
        <f t="shared" ca="1" si="1"/>
        <v>46073</v>
      </c>
      <c r="AV24" s="1"/>
    </row>
    <row r="25" spans="1:48" ht="13.15" customHeight="1">
      <c r="A25" s="18"/>
      <c r="B25" s="24" t="s">
        <v>256</v>
      </c>
      <c r="C25" s="25"/>
      <c r="D25" s="40" t="s">
        <v>73</v>
      </c>
      <c r="E25" s="56">
        <f>'SPC San Esteban A'!E25</f>
        <v>0.05</v>
      </c>
      <c r="F25" s="476" t="e">
        <f>F23*E25</f>
        <v>#REF!</v>
      </c>
      <c r="G25" s="477"/>
      <c r="H25" s="477"/>
      <c r="I25" s="478"/>
      <c r="J25" s="19"/>
      <c r="K25" s="504"/>
      <c r="L25" s="505"/>
      <c r="M25" s="46"/>
      <c r="N25" s="502"/>
      <c r="O25" s="503"/>
      <c r="P25" s="127"/>
      <c r="Q25" s="128"/>
      <c r="T25" s="140" t="s">
        <v>194</v>
      </c>
      <c r="U25" s="46">
        <f t="shared" ca="1" si="1"/>
        <v>46101</v>
      </c>
      <c r="AV25" s="1"/>
    </row>
    <row r="26" spans="1:48" ht="13.15" customHeight="1">
      <c r="A26" s="18"/>
      <c r="B26" s="498" t="s">
        <v>195</v>
      </c>
      <c r="C26" s="498"/>
      <c r="D26" s="42" t="str">
        <f>D25</f>
        <v>:</v>
      </c>
      <c r="E26" s="57"/>
      <c r="F26" s="58"/>
      <c r="G26" s="58"/>
      <c r="H26" s="499"/>
      <c r="I26" s="500"/>
      <c r="J26" s="19"/>
      <c r="K26" s="504"/>
      <c r="L26" s="505"/>
      <c r="M26" s="46"/>
      <c r="N26" s="502"/>
      <c r="O26" s="503"/>
      <c r="P26" s="127"/>
      <c r="Q26" s="128"/>
      <c r="T26" s="140" t="s">
        <v>196</v>
      </c>
      <c r="U26" s="46">
        <f t="shared" ca="1" si="1"/>
        <v>46132</v>
      </c>
      <c r="AV26" s="1"/>
    </row>
    <row r="27" spans="1:48" ht="13.15" customHeight="1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4"/>
      <c r="L27" s="505"/>
      <c r="M27" s="46"/>
      <c r="N27" s="502"/>
      <c r="O27" s="503"/>
      <c r="P27" s="127"/>
      <c r="Q27" s="128"/>
      <c r="T27" s="140" t="s">
        <v>198</v>
      </c>
      <c r="U27" s="46">
        <f t="shared" ca="1" si="1"/>
        <v>46162</v>
      </c>
      <c r="AV27" s="1"/>
    </row>
    <row r="28" spans="1:48" ht="13.15" customHeight="1">
      <c r="A28" s="18"/>
      <c r="B28" s="44" t="s">
        <v>199</v>
      </c>
      <c r="C28" s="45"/>
      <c r="D28" s="17" t="s">
        <v>73</v>
      </c>
      <c r="E28" s="59"/>
      <c r="F28" s="476" t="e">
        <f>F25-F26-F27</f>
        <v>#REF!</v>
      </c>
      <c r="G28" s="477"/>
      <c r="H28" s="477"/>
      <c r="I28" s="478"/>
      <c r="J28" s="19"/>
      <c r="K28" s="492" t="s">
        <v>203</v>
      </c>
      <c r="L28" s="492"/>
      <c r="M28" s="46" t="e">
        <f>M18+31</f>
        <v>#REF!</v>
      </c>
      <c r="N28" s="493" t="e">
        <f>F30</f>
        <v>#REF!</v>
      </c>
      <c r="O28" s="493"/>
      <c r="P28" s="494"/>
      <c r="Q28" s="495"/>
      <c r="T28" s="140" t="s">
        <v>200</v>
      </c>
      <c r="U28" s="46">
        <f t="shared" ca="1" si="1"/>
        <v>46193</v>
      </c>
      <c r="AV28" s="1"/>
    </row>
    <row r="29" spans="1:48">
      <c r="A29" s="18"/>
      <c r="B29" s="35"/>
      <c r="C29" s="20"/>
      <c r="D29" s="17"/>
      <c r="E29" s="26"/>
      <c r="F29" s="47"/>
      <c r="G29" s="47"/>
      <c r="H29" s="47"/>
      <c r="I29" s="47"/>
      <c r="J29" s="19"/>
      <c r="K29" s="492" t="s">
        <v>91</v>
      </c>
      <c r="L29" s="492"/>
      <c r="M29" s="66"/>
      <c r="N29" s="554" t="e">
        <f>SUM(N17:O28)</f>
        <v>#REF!</v>
      </c>
      <c r="O29" s="554"/>
      <c r="P29" s="494"/>
      <c r="Q29" s="495"/>
      <c r="T29" s="140" t="s">
        <v>201</v>
      </c>
      <c r="U29" s="46">
        <f t="shared" ca="1" si="1"/>
        <v>46223</v>
      </c>
      <c r="AV29" s="1"/>
    </row>
    <row r="30" spans="1:48">
      <c r="A30" s="18"/>
      <c r="B30" s="44" t="s">
        <v>207</v>
      </c>
      <c r="C30" s="44"/>
      <c r="D30" s="17" t="s">
        <v>73</v>
      </c>
      <c r="E30" s="67">
        <f>100%-E25</f>
        <v>0.95</v>
      </c>
      <c r="F30" s="476" t="e">
        <f>F23*E30</f>
        <v>#REF!</v>
      </c>
      <c r="G30" s="477"/>
      <c r="H30" s="477"/>
      <c r="I30" s="478"/>
      <c r="J30" s="19"/>
      <c r="K30" s="496"/>
      <c r="L30" s="496"/>
      <c r="M30" s="68"/>
      <c r="N30" s="497"/>
      <c r="O30" s="497"/>
      <c r="P30" s="69"/>
      <c r="Q30" s="19"/>
      <c r="T30" s="123"/>
      <c r="U30" s="46"/>
      <c r="AV30" s="1"/>
    </row>
    <row r="31" spans="1:48">
      <c r="A31" s="18"/>
      <c r="B31" s="20"/>
      <c r="C31" s="35"/>
      <c r="D31" s="65"/>
      <c r="E31" s="65"/>
      <c r="F31" s="65"/>
      <c r="G31" s="70"/>
      <c r="H31" s="70"/>
      <c r="I31" s="70"/>
      <c r="J31" s="19"/>
      <c r="T31" s="123"/>
      <c r="U31" s="46"/>
      <c r="AV31" s="1"/>
    </row>
    <row r="32" spans="1:48">
      <c r="A32" s="18"/>
      <c r="B32" s="45" t="s">
        <v>210</v>
      </c>
      <c r="C32" s="44"/>
      <c r="D32" s="71"/>
      <c r="E32" s="72"/>
      <c r="F32" s="73"/>
      <c r="G32" s="70"/>
      <c r="H32" s="70"/>
      <c r="I32" s="70"/>
      <c r="J32" s="19"/>
      <c r="T32" s="123" t="s">
        <v>206</v>
      </c>
      <c r="U32" s="46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AV32" s="1"/>
    </row>
    <row r="33" spans="1:48">
      <c r="A33" s="18"/>
      <c r="B33" s="18"/>
      <c r="C33" s="74"/>
      <c r="D33" s="74"/>
      <c r="E33" s="75"/>
      <c r="F33" s="71"/>
      <c r="G33" s="71"/>
      <c r="H33" s="71"/>
      <c r="I33" s="71"/>
      <c r="J33" s="19"/>
      <c r="T33" s="123" t="s">
        <v>208</v>
      </c>
      <c r="U33" s="46" t="e">
        <f t="shared" si="1"/>
        <v>#REF!</v>
      </c>
      <c r="AV33" s="1"/>
    </row>
    <row r="34" spans="1:48">
      <c r="A34" s="18"/>
      <c r="B34" s="76" t="s">
        <v>213</v>
      </c>
      <c r="C34" s="76" t="s">
        <v>214</v>
      </c>
      <c r="D34" s="76" t="s">
        <v>215</v>
      </c>
      <c r="E34" s="76" t="s">
        <v>216</v>
      </c>
      <c r="F34" s="489" t="s">
        <v>217</v>
      </c>
      <c r="G34" s="489"/>
      <c r="H34" s="489"/>
      <c r="I34" s="489"/>
      <c r="J34" s="17"/>
      <c r="K34" s="74"/>
      <c r="L34" s="74"/>
      <c r="M34" s="74"/>
      <c r="N34" s="74"/>
      <c r="O34" s="74"/>
      <c r="P34" s="74"/>
      <c r="Q34" s="74"/>
      <c r="T34" s="123" t="s">
        <v>209</v>
      </c>
      <c r="U34" s="46" t="e">
        <f t="shared" si="1"/>
        <v>#REF!</v>
      </c>
      <c r="AV34" s="1"/>
    </row>
    <row r="35" spans="1:48">
      <c r="A35" s="18"/>
      <c r="B35" s="77">
        <v>5</v>
      </c>
      <c r="C35" s="78">
        <v>8.5000000000000006E-2</v>
      </c>
      <c r="D35" s="79">
        <f>PMT(C35/12,B35*12,-1)</f>
        <v>2.0516531327051248E-2</v>
      </c>
      <c r="E35" s="80" t="e">
        <f>F30*D35</f>
        <v>#REF!</v>
      </c>
      <c r="F35" s="490" t="e">
        <f>E35/0.33</f>
        <v>#REF!</v>
      </c>
      <c r="G35" s="490"/>
      <c r="H35" s="490"/>
      <c r="I35" s="490"/>
      <c r="J35" s="17"/>
      <c r="K35" s="19" t="s">
        <v>218</v>
      </c>
      <c r="L35" s="18"/>
      <c r="M35" s="18"/>
      <c r="N35" s="18"/>
      <c r="O35" s="19" t="s">
        <v>219</v>
      </c>
      <c r="P35" s="18"/>
      <c r="Q35" s="18"/>
      <c r="T35" s="123" t="s">
        <v>211</v>
      </c>
      <c r="U35" s="46" t="e">
        <f t="shared" si="1"/>
        <v>#REF!</v>
      </c>
      <c r="AV35" s="1"/>
    </row>
    <row r="36" spans="1:48">
      <c r="A36" s="18"/>
      <c r="B36" s="77">
        <v>10</v>
      </c>
      <c r="C36" s="78">
        <v>8.5000000000000006E-2</v>
      </c>
      <c r="D36" s="79">
        <f>PMT(C36/12,B36*12,-1)</f>
        <v>1.2398568887451111E-2</v>
      </c>
      <c r="E36" s="80" t="e">
        <f>F30*D36</f>
        <v>#REF!</v>
      </c>
      <c r="F36" s="490" t="e">
        <f>E36/0.33</f>
        <v>#REF!</v>
      </c>
      <c r="G36" s="490"/>
      <c r="H36" s="490"/>
      <c r="I36" s="490"/>
      <c r="J36" s="74"/>
      <c r="K36" s="18"/>
      <c r="L36" s="18"/>
      <c r="M36" s="26"/>
      <c r="N36" s="18"/>
      <c r="O36" s="18"/>
      <c r="P36" s="18"/>
      <c r="Q36" s="18"/>
      <c r="R36" s="74"/>
      <c r="T36" s="123" t="s">
        <v>212</v>
      </c>
      <c r="U36" s="46" t="e">
        <f t="shared" si="1"/>
        <v>#REF!</v>
      </c>
      <c r="AV36" s="1"/>
    </row>
    <row r="37" spans="1:48">
      <c r="A37" s="18"/>
      <c r="B37" s="77">
        <v>15</v>
      </c>
      <c r="C37" s="78">
        <v>8.5000000000000006E-2</v>
      </c>
      <c r="D37" s="79">
        <f t="shared" ref="D37:D38" si="2">PMT(C37/12,B37*12,-1)</f>
        <v>9.8473955792559333E-3</v>
      </c>
      <c r="E37" s="80" t="e">
        <f>F30*D37</f>
        <v>#REF!</v>
      </c>
      <c r="F37" s="490" t="e">
        <f>E37/0.33</f>
        <v>#REF!</v>
      </c>
      <c r="G37" s="490"/>
      <c r="H37" s="490"/>
      <c r="I37" s="490"/>
      <c r="J37" s="19"/>
      <c r="K37" s="18"/>
      <c r="L37" s="18"/>
      <c r="M37" s="26"/>
      <c r="N37" s="18"/>
      <c r="O37" s="18"/>
      <c r="P37" s="18"/>
      <c r="Q37" s="18"/>
      <c r="R37" s="18"/>
      <c r="T37" s="123" t="s">
        <v>220</v>
      </c>
      <c r="U37" s="46" t="e">
        <f t="shared" si="1"/>
        <v>#REF!</v>
      </c>
      <c r="AV37" s="1"/>
    </row>
    <row r="38" spans="1:48">
      <c r="A38" s="18"/>
      <c r="B38" s="77">
        <v>20</v>
      </c>
      <c r="C38" s="78">
        <v>8.5000000000000006E-2</v>
      </c>
      <c r="D38" s="79">
        <f t="shared" si="2"/>
        <v>8.6782323336553387E-3</v>
      </c>
      <c r="E38" s="80" t="e">
        <f>F30*D38</f>
        <v>#REF!</v>
      </c>
      <c r="F38" s="490" t="e">
        <f>E38/0.33</f>
        <v>#REF!</v>
      </c>
      <c r="G38" s="490"/>
      <c r="H38" s="490"/>
      <c r="I38" s="490"/>
      <c r="J38" s="19"/>
      <c r="K38" s="491"/>
      <c r="L38" s="491"/>
      <c r="M38" s="491"/>
      <c r="N38" s="19"/>
      <c r="O38" s="125"/>
      <c r="P38" s="125"/>
      <c r="Q38" s="125"/>
      <c r="R38" s="18"/>
      <c r="T38" s="123" t="s">
        <v>221</v>
      </c>
      <c r="U38" s="46" t="e">
        <f t="shared" si="1"/>
        <v>#REF!</v>
      </c>
      <c r="AV38" s="1"/>
    </row>
    <row r="39" spans="1:48">
      <c r="A39" s="18"/>
      <c r="B39" s="81" t="s">
        <v>226</v>
      </c>
      <c r="C39" s="82"/>
      <c r="D39" s="83"/>
      <c r="E39" s="129"/>
      <c r="F39" s="130"/>
      <c r="G39" s="130"/>
      <c r="H39" s="130"/>
      <c r="I39" s="130"/>
      <c r="J39" s="19"/>
      <c r="K39" s="86" t="s">
        <v>224</v>
      </c>
      <c r="L39" s="487"/>
      <c r="M39" s="487"/>
      <c r="N39" s="18"/>
      <c r="O39" s="488" t="s">
        <v>225</v>
      </c>
      <c r="P39" s="488"/>
      <c r="Q39" s="488"/>
      <c r="R39" s="18"/>
      <c r="T39" s="123" t="s">
        <v>222</v>
      </c>
      <c r="U39" s="46" t="e">
        <f t="shared" si="1"/>
        <v>#REF!</v>
      </c>
      <c r="AV39" s="1"/>
    </row>
    <row r="40" spans="1:48" ht="14.25">
      <c r="A40" s="18"/>
      <c r="B40" s="81" t="s">
        <v>227</v>
      </c>
      <c r="C40" s="82"/>
      <c r="D40" s="83"/>
      <c r="E40" s="129"/>
      <c r="F40" s="130"/>
      <c r="G40" s="130"/>
      <c r="H40" s="130"/>
      <c r="I40" s="130"/>
      <c r="J40" s="19"/>
      <c r="K40" s="89"/>
      <c r="L40" s="89"/>
      <c r="M40" s="89"/>
      <c r="N40" s="89"/>
      <c r="O40" s="89"/>
      <c r="P40" s="90"/>
      <c r="Q40" s="90"/>
      <c r="R40" s="126"/>
      <c r="T40" s="123" t="s">
        <v>223</v>
      </c>
      <c r="U40" s="46" t="e">
        <f t="shared" si="1"/>
        <v>#REF!</v>
      </c>
      <c r="AV40" s="1"/>
    </row>
    <row r="41" spans="1:48">
      <c r="A41" s="18"/>
      <c r="B41" s="91" t="s">
        <v>228</v>
      </c>
      <c r="C41" s="82"/>
      <c r="D41" s="83"/>
      <c r="E41" s="129"/>
      <c r="F41" s="130"/>
      <c r="G41" s="130"/>
      <c r="H41" s="130"/>
      <c r="I41" s="130"/>
      <c r="J41" s="19"/>
      <c r="K41" s="92"/>
      <c r="L41" s="18"/>
      <c r="M41" s="39"/>
      <c r="N41" s="18"/>
      <c r="O41" s="18"/>
      <c r="P41" s="18"/>
      <c r="Q41" s="18"/>
      <c r="R41" s="126"/>
      <c r="T41" s="123"/>
      <c r="U41" s="46" t="e">
        <f t="shared" si="1"/>
        <v>#REF!</v>
      </c>
      <c r="AV41" s="1"/>
    </row>
    <row r="42" spans="1:48">
      <c r="A42" s="18"/>
      <c r="B42" s="91" t="s">
        <v>229</v>
      </c>
      <c r="C42" s="82"/>
      <c r="D42" s="83"/>
      <c r="E42" s="129"/>
      <c r="F42" s="130"/>
      <c r="G42" s="130"/>
      <c r="H42" s="130"/>
      <c r="I42" s="130"/>
      <c r="J42" s="19"/>
      <c r="K42" s="92"/>
      <c r="L42" s="18"/>
      <c r="M42" s="39"/>
      <c r="N42" s="18"/>
      <c r="O42" s="18"/>
      <c r="P42" s="18"/>
      <c r="Q42" s="18"/>
      <c r="R42" s="126"/>
      <c r="T42" s="123"/>
      <c r="U42" s="46" t="e">
        <f t="shared" si="1"/>
        <v>#REF!</v>
      </c>
      <c r="AV42" s="1"/>
    </row>
    <row r="43" spans="1:48">
      <c r="A43" s="18"/>
      <c r="B43" s="26"/>
      <c r="C43" s="82"/>
      <c r="D43" s="83"/>
      <c r="E43" s="129"/>
      <c r="F43" s="130"/>
      <c r="G43" s="130"/>
      <c r="H43" s="130"/>
      <c r="I43" s="130"/>
      <c r="J43" s="19"/>
      <c r="K43" s="92"/>
      <c r="L43" s="18"/>
      <c r="M43" s="39"/>
      <c r="N43" s="18"/>
      <c r="O43" s="18"/>
      <c r="P43" s="18"/>
      <c r="Q43" s="18"/>
      <c r="R43" s="126"/>
      <c r="T43" s="123"/>
      <c r="U43" s="46" t="e">
        <f t="shared" si="1"/>
        <v>#REF!</v>
      </c>
      <c r="AV43" s="1"/>
    </row>
    <row r="44" spans="1:48">
      <c r="A44" s="18"/>
      <c r="B44" s="19" t="s">
        <v>230</v>
      </c>
      <c r="C44" s="82"/>
      <c r="D44" s="83"/>
      <c r="E44" s="129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 t="e">
        <f t="shared" si="1"/>
        <v>#REF!</v>
      </c>
      <c r="AV44" s="1"/>
    </row>
    <row r="45" spans="1:48">
      <c r="A45" s="18"/>
      <c r="B45" s="76" t="s">
        <v>213</v>
      </c>
      <c r="C45" s="76" t="s">
        <v>214</v>
      </c>
      <c r="D45" s="76" t="s">
        <v>215</v>
      </c>
      <c r="E45" s="76" t="s">
        <v>231</v>
      </c>
      <c r="F45" s="489" t="s">
        <v>217</v>
      </c>
      <c r="G45" s="489"/>
      <c r="H45" s="489"/>
      <c r="I45" s="489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 t="e">
        <f t="shared" si="1"/>
        <v>#REF!</v>
      </c>
      <c r="AV45" s="1"/>
    </row>
    <row r="46" spans="1:48">
      <c r="A46" s="18"/>
      <c r="B46" s="78" t="s">
        <v>257</v>
      </c>
      <c r="C46" s="131">
        <v>0.16</v>
      </c>
      <c r="D46" s="79">
        <f>'Pricelist Standard'!AQ6</f>
        <v>2.4318057116359135E-2</v>
      </c>
      <c r="E46" s="80" t="e">
        <f>F30*D46</f>
        <v>#REF!</v>
      </c>
      <c r="F46" s="490" t="e">
        <f>E46/0.33</f>
        <v>#REF!</v>
      </c>
      <c r="G46" s="490"/>
      <c r="H46" s="490"/>
      <c r="I46" s="49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 t="e">
        <f t="shared" si="1"/>
        <v>#REF!</v>
      </c>
      <c r="AV46" s="1"/>
    </row>
    <row r="47" spans="1:48" hidden="1">
      <c r="A47" s="18"/>
      <c r="B47" s="78" t="s">
        <v>233</v>
      </c>
      <c r="C47" s="131">
        <v>0.18</v>
      </c>
      <c r="D47" s="79">
        <f>'Pricelist Standard'!AU6</f>
        <v>1.801851990409967E-2</v>
      </c>
      <c r="E47" s="80" t="e">
        <f>F30*D47</f>
        <v>#REF!</v>
      </c>
      <c r="F47" s="490" t="e">
        <f>E47/0.33</f>
        <v>#REF!</v>
      </c>
      <c r="G47" s="490"/>
      <c r="H47" s="490"/>
      <c r="I47" s="49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 t="e">
        <f t="shared" si="1"/>
        <v>#REF!</v>
      </c>
      <c r="AV47" s="1"/>
    </row>
    <row r="48" spans="1:48">
      <c r="A48" s="18"/>
      <c r="B48" s="91" t="s">
        <v>228</v>
      </c>
      <c r="C48" s="82"/>
      <c r="D48" s="83"/>
      <c r="E48" s="129"/>
      <c r="F48" s="130"/>
      <c r="G48" s="130"/>
      <c r="H48" s="130"/>
      <c r="I48" s="130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 t="e">
        <f t="shared" si="1"/>
        <v>#REF!</v>
      </c>
      <c r="AV48" s="1"/>
    </row>
    <row r="49" spans="1:48">
      <c r="A49" s="18"/>
      <c r="C49" s="82"/>
      <c r="D49" s="83"/>
      <c r="E49" s="84"/>
      <c r="F49" s="486"/>
      <c r="G49" s="486"/>
      <c r="H49" s="85"/>
      <c r="I49" s="18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 t="e">
        <f t="shared" si="1"/>
        <v>#REF!</v>
      </c>
      <c r="AV49" s="1"/>
    </row>
    <row r="50" spans="1:48">
      <c r="A50" s="18"/>
      <c r="C50" s="88"/>
      <c r="D50" s="26"/>
      <c r="E50" s="18"/>
      <c r="F50" s="18"/>
      <c r="G50" s="18"/>
      <c r="H50" s="18"/>
      <c r="I50" s="18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 t="e">
        <f t="shared" si="1"/>
        <v>#REF!</v>
      </c>
      <c r="AV50" s="1"/>
    </row>
    <row r="51" spans="1:48">
      <c r="A51" s="18"/>
      <c r="C51" s="18"/>
      <c r="D51" s="26"/>
      <c r="E51" s="18"/>
      <c r="F51" s="18"/>
      <c r="G51" s="18"/>
      <c r="H51" s="18"/>
      <c r="I51" s="18"/>
      <c r="J51" s="19"/>
      <c r="K51" s="92"/>
      <c r="L51" s="18"/>
      <c r="M51" s="39"/>
      <c r="N51" s="18"/>
      <c r="O51" s="18"/>
      <c r="P51" s="18"/>
      <c r="Q51" s="18"/>
      <c r="R51" s="18"/>
      <c r="T51" s="123" t="s">
        <v>234</v>
      </c>
      <c r="U51" s="46" t="e">
        <f t="shared" si="1"/>
        <v>#REF!</v>
      </c>
      <c r="AL51" s="87">
        <v>3128865.99</v>
      </c>
      <c r="AV51" s="1"/>
    </row>
    <row r="52" spans="1:48" ht="14.25">
      <c r="A52" s="18"/>
      <c r="C52" s="88"/>
      <c r="D52" s="26"/>
      <c r="E52" s="18"/>
      <c r="F52" s="18"/>
      <c r="G52" s="18"/>
      <c r="H52" s="18"/>
      <c r="I52" s="18"/>
      <c r="J52" s="19"/>
      <c r="K52" s="92"/>
      <c r="L52" s="18"/>
      <c r="M52" s="39"/>
      <c r="N52" s="18"/>
      <c r="O52" s="18"/>
      <c r="P52" s="18"/>
      <c r="Q52" s="18"/>
      <c r="R52" s="90"/>
      <c r="T52" s="123" t="s">
        <v>235</v>
      </c>
      <c r="U52" s="46" t="e">
        <f t="shared" si="1"/>
        <v>#REF!</v>
      </c>
      <c r="AV52" s="1"/>
    </row>
    <row r="53" spans="1:48">
      <c r="A53" s="18"/>
      <c r="B53" s="93"/>
      <c r="C53" s="18"/>
      <c r="D53" s="18"/>
      <c r="E53" s="18"/>
      <c r="F53" s="18"/>
      <c r="G53" s="18"/>
      <c r="H53" s="18"/>
      <c r="I53" s="18"/>
      <c r="J53" s="19"/>
      <c r="K53" s="92"/>
      <c r="L53" s="18"/>
      <c r="M53" s="39"/>
      <c r="N53" s="18"/>
      <c r="O53" s="18"/>
      <c r="P53" s="18"/>
      <c r="Q53" s="18"/>
      <c r="T53" s="123" t="s">
        <v>236</v>
      </c>
      <c r="U53" s="46" t="e">
        <f t="shared" si="1"/>
        <v>#REF!</v>
      </c>
      <c r="AV53" s="1"/>
    </row>
    <row r="54" spans="1:48">
      <c r="A54" s="18"/>
      <c r="J54" s="17"/>
      <c r="K54" s="92"/>
      <c r="L54" s="18"/>
      <c r="M54" s="39"/>
      <c r="N54" s="18"/>
      <c r="O54" s="18"/>
      <c r="P54" s="18"/>
      <c r="Q54" s="18"/>
      <c r="T54" s="123" t="s">
        <v>237</v>
      </c>
      <c r="U54" s="46" t="e">
        <f t="shared" si="1"/>
        <v>#REF!</v>
      </c>
      <c r="AV54" s="1"/>
    </row>
    <row r="55" spans="1:48">
      <c r="A55" s="18"/>
      <c r="J55" s="26"/>
      <c r="K55" s="19"/>
      <c r="L55" s="18"/>
      <c r="M55" s="18"/>
      <c r="N55" s="18"/>
      <c r="O55" s="19"/>
      <c r="P55" s="18"/>
      <c r="Q55" s="18"/>
      <c r="T55" s="123" t="s">
        <v>238</v>
      </c>
      <c r="U55" s="46" t="e">
        <f t="shared" si="1"/>
        <v>#REF!</v>
      </c>
      <c r="AV55" s="1"/>
    </row>
    <row r="56" spans="1:48">
      <c r="A56" s="18"/>
      <c r="J56" s="26"/>
      <c r="K56" s="18"/>
      <c r="L56" s="18"/>
      <c r="M56" s="26"/>
      <c r="N56" s="18"/>
      <c r="O56" s="18"/>
      <c r="P56" s="18"/>
      <c r="Q56" s="18"/>
      <c r="T56" s="123" t="s">
        <v>239</v>
      </c>
      <c r="U56" s="46" t="e">
        <f t="shared" si="1"/>
        <v>#REF!</v>
      </c>
      <c r="AV56" s="1"/>
    </row>
    <row r="57" spans="1:48">
      <c r="A57" s="18"/>
      <c r="J57" s="26"/>
      <c r="K57" s="18"/>
      <c r="L57" s="18"/>
      <c r="M57" s="26"/>
      <c r="N57" s="18"/>
      <c r="O57" s="18"/>
      <c r="P57" s="18"/>
      <c r="Q57" s="18"/>
      <c r="T57" s="123"/>
      <c r="U57" s="46" t="e">
        <f t="shared" si="1"/>
        <v>#REF!</v>
      </c>
      <c r="AH57" s="1"/>
      <c r="AU57" s="1"/>
      <c r="AV57" s="1"/>
    </row>
    <row r="58" spans="1:48">
      <c r="A58" s="18"/>
      <c r="J58" s="26"/>
      <c r="K58" s="484"/>
      <c r="L58" s="484"/>
      <c r="M58" s="484"/>
      <c r="N58" s="19"/>
      <c r="O58" s="484"/>
      <c r="P58" s="484"/>
      <c r="Q58" s="484"/>
      <c r="T58" s="123"/>
      <c r="U58" s="46" t="e">
        <f t="shared" si="1"/>
        <v>#REF!</v>
      </c>
      <c r="AH58" s="1"/>
      <c r="AU58" s="1"/>
      <c r="AV58" s="1"/>
    </row>
    <row r="59" spans="1:48" ht="15" customHeight="1">
      <c r="A59" s="18"/>
      <c r="J59" s="17"/>
      <c r="K59" s="18"/>
      <c r="L59" s="474"/>
      <c r="M59" s="474"/>
      <c r="N59" s="18"/>
      <c r="O59" s="485"/>
      <c r="P59" s="485"/>
      <c r="Q59" s="485"/>
      <c r="T59" s="132"/>
      <c r="U59" s="46" t="e">
        <f t="shared" si="1"/>
        <v>#REF!</v>
      </c>
      <c r="AH59" s="1"/>
      <c r="AU59" s="1"/>
      <c r="AV59" s="1"/>
    </row>
    <row r="60" spans="1:48">
      <c r="A60" s="18"/>
      <c r="J60" s="17"/>
      <c r="K60" s="92"/>
      <c r="L60" s="18"/>
      <c r="M60" s="84"/>
      <c r="N60" s="18"/>
      <c r="O60" s="18"/>
      <c r="P60" s="18"/>
      <c r="Q60" s="18"/>
      <c r="T60" s="132"/>
      <c r="U60" s="46" t="e">
        <f t="shared" si="1"/>
        <v>#REF!</v>
      </c>
      <c r="AH60" s="1"/>
      <c r="AU60" s="1"/>
      <c r="AV60" s="1"/>
    </row>
    <row r="61" spans="1:48" ht="15" customHeight="1">
      <c r="A61" s="18"/>
      <c r="B61" s="482"/>
      <c r="C61" s="482"/>
      <c r="D61" s="482"/>
      <c r="E61" s="482"/>
      <c r="F61" s="482"/>
      <c r="G61" s="483"/>
      <c r="H61" s="483"/>
      <c r="I61" s="483"/>
      <c r="J61" s="71"/>
      <c r="K61" s="92"/>
      <c r="L61" s="18"/>
      <c r="M61" s="84"/>
      <c r="N61" s="18"/>
      <c r="O61" s="18"/>
      <c r="P61" s="18"/>
      <c r="Q61" s="18"/>
      <c r="T61" s="123"/>
      <c r="U61" s="46" t="e">
        <f t="shared" si="1"/>
        <v>#REF!</v>
      </c>
      <c r="AH61" s="1"/>
      <c r="AU61" s="1"/>
      <c r="AV61" s="1"/>
    </row>
    <row r="62" spans="1:48">
      <c r="A62" s="18"/>
      <c r="B62" s="482"/>
      <c r="C62" s="482"/>
      <c r="D62" s="482"/>
      <c r="E62" s="482"/>
      <c r="F62" s="482"/>
      <c r="G62" s="483"/>
      <c r="H62" s="483"/>
      <c r="I62" s="483"/>
      <c r="J62" s="71"/>
      <c r="K62" s="92"/>
      <c r="L62" s="18"/>
      <c r="M62" s="39"/>
      <c r="N62" s="18"/>
      <c r="O62" s="18"/>
      <c r="P62" s="18"/>
      <c r="Q62" s="18"/>
      <c r="T62" s="123"/>
      <c r="U62" s="46" t="e">
        <f t="shared" si="1"/>
        <v>#REF!</v>
      </c>
      <c r="AH62" s="1"/>
      <c r="AU62" s="1"/>
      <c r="AV62" s="1"/>
    </row>
    <row r="63" spans="1:48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T63" s="123"/>
      <c r="U63" s="46" t="e">
        <f t="shared" si="1"/>
        <v>#REF!</v>
      </c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T64" s="123" t="s">
        <v>240</v>
      </c>
      <c r="U64" s="46" t="e">
        <f t="shared" si="1"/>
        <v>#REF!</v>
      </c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241</v>
      </c>
      <c r="U65" s="46" t="e">
        <f t="shared" si="1"/>
        <v>#REF!</v>
      </c>
      <c r="AH65" s="1"/>
      <c r="AU65" s="1"/>
      <c r="AV65" s="1"/>
    </row>
    <row r="66" spans="1:48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242</v>
      </c>
      <c r="U66" s="46" t="e">
        <f t="shared" si="1"/>
        <v>#REF!</v>
      </c>
      <c r="AH66" s="1"/>
      <c r="AU66" s="1"/>
      <c r="AV66" s="1"/>
    </row>
    <row r="67" spans="1:48" ht="15" customHeight="1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243</v>
      </c>
      <c r="U67" s="46" t="e">
        <f t="shared" si="1"/>
        <v>#REF!</v>
      </c>
      <c r="AH67" s="1"/>
      <c r="AU67" s="1"/>
      <c r="AV67" s="1"/>
    </row>
    <row r="68" spans="1:48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244</v>
      </c>
      <c r="U68" s="46" t="e">
        <f t="shared" si="1"/>
        <v>#REF!</v>
      </c>
      <c r="AH68" s="1"/>
      <c r="AU68" s="1"/>
      <c r="AV68" s="1"/>
    </row>
    <row r="69" spans="1:48" ht="12.75" customHeight="1">
      <c r="A69" s="18"/>
      <c r="B69" s="93"/>
      <c r="C69" s="18"/>
      <c r="D69" s="18"/>
      <c r="E69" s="18"/>
      <c r="F69" s="18"/>
      <c r="G69" s="18"/>
      <c r="H69" s="18"/>
      <c r="I69" s="18"/>
      <c r="J69" s="71"/>
      <c r="K69" s="92"/>
      <c r="L69" s="18"/>
      <c r="M69" s="39"/>
      <c r="N69" s="18"/>
      <c r="O69" s="18"/>
      <c r="P69" s="18"/>
      <c r="Q69" s="18"/>
      <c r="T69" s="123" t="s">
        <v>245</v>
      </c>
      <c r="U69" s="46" t="e">
        <f t="shared" si="1"/>
        <v>#REF!</v>
      </c>
      <c r="AH69" s="1"/>
      <c r="AU69" s="1"/>
      <c r="AV69" s="1"/>
    </row>
    <row r="70" spans="1:48">
      <c r="A70" s="18"/>
      <c r="C70" s="93"/>
      <c r="D70" s="479"/>
      <c r="E70" s="480"/>
      <c r="F70" s="480"/>
      <c r="G70" s="18"/>
      <c r="H70" s="18"/>
      <c r="I70" s="18"/>
      <c r="J70" s="71"/>
      <c r="K70" s="92"/>
      <c r="L70" s="18"/>
      <c r="M70" s="39"/>
      <c r="N70" s="18"/>
      <c r="O70" s="18"/>
      <c r="P70" s="18"/>
      <c r="Q70" s="18"/>
      <c r="T70" s="123" t="s">
        <v>246</v>
      </c>
      <c r="U70" s="46" t="e">
        <f t="shared" si="1"/>
        <v>#REF!</v>
      </c>
      <c r="AH70" s="1"/>
      <c r="AU70" s="1"/>
      <c r="AV70" s="1"/>
    </row>
    <row r="71" spans="1:48">
      <c r="A71" s="18"/>
      <c r="B71" s="93"/>
      <c r="C71" s="18"/>
      <c r="D71" s="94"/>
      <c r="E71" s="94"/>
      <c r="F71" s="18"/>
      <c r="G71" s="18"/>
      <c r="H71" s="18"/>
      <c r="I71" s="18"/>
      <c r="J71" s="71"/>
      <c r="K71" s="92"/>
      <c r="L71" s="18"/>
      <c r="M71" s="39"/>
      <c r="N71" s="18"/>
      <c r="O71" s="18"/>
      <c r="P71" s="18"/>
      <c r="Q71" s="18"/>
      <c r="T71" s="123" t="s">
        <v>247</v>
      </c>
      <c r="U71" s="46" t="e">
        <f t="shared" si="1"/>
        <v>#REF!</v>
      </c>
      <c r="AH71" s="1"/>
      <c r="AU71" s="1"/>
      <c r="AV71" s="1"/>
    </row>
    <row r="72" spans="1:48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T72" s="123" t="s">
        <v>248</v>
      </c>
      <c r="U72" s="46" t="e">
        <f t="shared" si="1"/>
        <v>#REF!</v>
      </c>
      <c r="AH72" s="1"/>
      <c r="AU72" s="1"/>
      <c r="AV72" s="1"/>
    </row>
    <row r="73" spans="1:48">
      <c r="A73" s="18"/>
      <c r="B73" s="93"/>
      <c r="C73" s="18"/>
      <c r="D73" s="94"/>
      <c r="E73" s="94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249</v>
      </c>
      <c r="U73" s="46" t="e">
        <f t="shared" si="1"/>
        <v>#REF!</v>
      </c>
      <c r="AH73" s="1"/>
      <c r="AU73" s="1"/>
      <c r="AV73" s="1"/>
    </row>
    <row r="74" spans="1:48">
      <c r="A74" s="18"/>
      <c r="B74" s="93"/>
      <c r="C74" s="18"/>
      <c r="D74" s="94"/>
      <c r="E74" s="94"/>
      <c r="F74" s="18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250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AH75" s="1"/>
      <c r="AU75" s="1"/>
      <c r="AV75" s="1"/>
    </row>
    <row r="76" spans="1:48">
      <c r="A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 ht="12" customHeight="1">
      <c r="A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B81" s="93"/>
      <c r="C81" s="18"/>
      <c r="D81" s="18"/>
      <c r="E81" s="18"/>
      <c r="F81" s="18"/>
      <c r="G81" s="18"/>
      <c r="H81" s="18"/>
      <c r="I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B83" s="93"/>
      <c r="C83" s="18"/>
      <c r="D83" s="18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B84" s="93"/>
      <c r="C84" s="18"/>
      <c r="D84" s="18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26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26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26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18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18"/>
      <c r="L229" s="18"/>
      <c r="M229" s="26"/>
      <c r="N229" s="18"/>
      <c r="O229" s="18"/>
      <c r="P229" s="18"/>
      <c r="Q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18"/>
      <c r="L230" s="18"/>
      <c r="M230" s="26"/>
      <c r="N230" s="18"/>
      <c r="O230" s="18"/>
      <c r="P230" s="18"/>
      <c r="Q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26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481"/>
      <c r="L232" s="481"/>
      <c r="M232" s="481"/>
      <c r="N232" s="18"/>
      <c r="O232" s="18"/>
      <c r="P232" s="481"/>
      <c r="Q232" s="481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474"/>
      <c r="M233" s="474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7"/>
      <c r="L234" s="18"/>
      <c r="M234" s="18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19"/>
      <c r="L235" s="18"/>
      <c r="M235" s="18"/>
      <c r="N235" s="18"/>
      <c r="O235" s="18"/>
      <c r="P235" s="18"/>
      <c r="Q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7"/>
      <c r="L236" s="1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4"/>
      <c r="L237" s="1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4"/>
      <c r="L238" s="1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4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18"/>
      <c r="C243" s="18"/>
      <c r="D243" s="26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18"/>
      <c r="C244" s="18"/>
      <c r="D244" s="26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18"/>
      <c r="C245" s="18"/>
      <c r="D245" s="26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18"/>
      <c r="C246" s="18"/>
      <c r="D246" s="26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18"/>
      <c r="E247" s="18"/>
      <c r="F247" s="26"/>
      <c r="G247" s="26"/>
      <c r="H247" s="26"/>
      <c r="I247" s="26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97"/>
      <c r="E249" s="98"/>
      <c r="F249" s="98"/>
      <c r="G249" s="98"/>
      <c r="H249" s="98"/>
      <c r="I249" s="17"/>
      <c r="J249" s="18"/>
      <c r="K249" s="4"/>
      <c r="L249" s="1"/>
      <c r="AH249" s="1"/>
      <c r="AU249" s="1"/>
      <c r="AV249" s="1"/>
    </row>
    <row r="250" spans="1:48" ht="12" customHeight="1">
      <c r="B250" s="18"/>
      <c r="C250" s="18"/>
      <c r="D250" s="97"/>
      <c r="E250" s="98"/>
      <c r="F250" s="98"/>
      <c r="G250" s="98"/>
      <c r="H250" s="98"/>
      <c r="I250" s="19"/>
      <c r="J250" s="18"/>
      <c r="AH250" s="1"/>
      <c r="AU250" s="1"/>
      <c r="AV250" s="1"/>
    </row>
    <row r="251" spans="1:48" ht="12" customHeight="1">
      <c r="A251" s="95" t="e">
        <f>(F15-#REF!)*12%</f>
        <v>#REF!</v>
      </c>
      <c r="B251" s="95"/>
      <c r="D251" s="99"/>
      <c r="E251" s="100"/>
      <c r="F251" s="100"/>
      <c r="G251" s="100"/>
      <c r="H251" s="100"/>
      <c r="I251" s="17"/>
      <c r="J251" s="18"/>
      <c r="AH251" s="1"/>
      <c r="AU251" s="1"/>
      <c r="AV251" s="1"/>
    </row>
    <row r="252" spans="1:48" ht="12" customHeight="1">
      <c r="A252" s="96"/>
      <c r="D252" s="99"/>
      <c r="F252" s="100"/>
      <c r="G252" s="100"/>
      <c r="H252" s="100"/>
      <c r="J252" s="18"/>
      <c r="AH252" s="1"/>
      <c r="AU252" s="1"/>
      <c r="AV252" s="1"/>
    </row>
    <row r="253" spans="1:48" ht="17.25" customHeight="1">
      <c r="D253" s="99"/>
      <c r="E253" s="100"/>
      <c r="F253" s="100"/>
      <c r="G253" s="100"/>
      <c r="H253" s="100"/>
      <c r="J253" s="18"/>
      <c r="AH253" s="1"/>
      <c r="AU253" s="1"/>
      <c r="AV253" s="1"/>
    </row>
    <row r="254" spans="1:48" ht="15.75" customHeight="1">
      <c r="D254" s="99"/>
      <c r="E254" s="100"/>
      <c r="F254" s="100"/>
      <c r="G254" s="100"/>
      <c r="H254" s="100"/>
      <c r="J254" s="18"/>
      <c r="AH254" s="1"/>
      <c r="AU254" s="1"/>
      <c r="AV254" s="1"/>
    </row>
    <row r="255" spans="1:48" ht="12.75" customHeight="1">
      <c r="D255" s="99"/>
      <c r="E255" s="100"/>
      <c r="F255" s="100"/>
      <c r="G255" s="100"/>
      <c r="H255" s="100"/>
      <c r="J255" s="18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J259" s="4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17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9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F791" s="100"/>
      <c r="G791" s="100"/>
      <c r="H791" s="100"/>
    </row>
    <row r="792" spans="4:8" ht="12.75" customHeight="1">
      <c r="D792" s="99"/>
      <c r="F792" s="100"/>
      <c r="G792" s="100"/>
      <c r="H792" s="100"/>
    </row>
    <row r="793" spans="4:8" ht="12.75" customHeight="1"/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Vh9Wyz48uLIJgIq3ExIcALmVUSXOgKmaPyAXNZQRnhjmqWAJEtvIbyds9VmyHWvvbbD4dcd1YIaKmcGAMtSfcA==" saltValue="DsvIjUxoEh+aB8MxjjX0dg==" spinCount="100000" sheet="1" objects="1" scenarios="1"/>
  <mergeCells count="121">
    <mergeCell ref="B67:C68"/>
    <mergeCell ref="D67:F68"/>
    <mergeCell ref="G67:I68"/>
    <mergeCell ref="D70:F70"/>
    <mergeCell ref="K232:M232"/>
    <mergeCell ref="P232:Q232"/>
    <mergeCell ref="L233:M233"/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K10:L10"/>
    <mergeCell ref="N10:Q10"/>
    <mergeCell ref="E7:I7"/>
    <mergeCell ref="K7:L7"/>
    <mergeCell ref="N7:Q7"/>
    <mergeCell ref="E8:I8"/>
    <mergeCell ref="K8:L8"/>
    <mergeCell ref="N8:Q8"/>
    <mergeCell ref="E10:F10"/>
    <mergeCell ref="G10:I10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K20:L20"/>
    <mergeCell ref="N20:O20"/>
    <mergeCell ref="P20:Q20"/>
    <mergeCell ref="F20:I20"/>
    <mergeCell ref="K19:L19"/>
    <mergeCell ref="N19:O19"/>
    <mergeCell ref="P19:Q19"/>
    <mergeCell ref="W18:X18"/>
    <mergeCell ref="W19:X19"/>
    <mergeCell ref="W20:X20"/>
    <mergeCell ref="B26:C26"/>
    <mergeCell ref="H26:I26"/>
    <mergeCell ref="K25:L25"/>
    <mergeCell ref="N25:O25"/>
    <mergeCell ref="K23:L23"/>
    <mergeCell ref="N23:O23"/>
    <mergeCell ref="P23:Q23"/>
    <mergeCell ref="F25:I25"/>
    <mergeCell ref="K24:L24"/>
    <mergeCell ref="N24:O24"/>
    <mergeCell ref="P29:Q29"/>
    <mergeCell ref="P28:Q28"/>
    <mergeCell ref="F28:I28"/>
    <mergeCell ref="K29:L29"/>
    <mergeCell ref="F34:I34"/>
    <mergeCell ref="F35:I35"/>
    <mergeCell ref="N29:O29"/>
    <mergeCell ref="K28:L28"/>
    <mergeCell ref="N28:O28"/>
    <mergeCell ref="F30:I30"/>
    <mergeCell ref="K30:L30"/>
    <mergeCell ref="N30:O30"/>
    <mergeCell ref="P21:Q21"/>
    <mergeCell ref="F23:I23"/>
    <mergeCell ref="K22:L22"/>
    <mergeCell ref="N22:O22"/>
    <mergeCell ref="P22:Q22"/>
    <mergeCell ref="F21:I21"/>
    <mergeCell ref="N27:O27"/>
    <mergeCell ref="K27:L27"/>
    <mergeCell ref="N26:O26"/>
    <mergeCell ref="K26:L26"/>
    <mergeCell ref="K21:L21"/>
    <mergeCell ref="N21:O21"/>
    <mergeCell ref="K38:M38"/>
    <mergeCell ref="F36:I36"/>
    <mergeCell ref="F37:I37"/>
    <mergeCell ref="F38:I38"/>
    <mergeCell ref="B65:C66"/>
    <mergeCell ref="L39:M39"/>
    <mergeCell ref="O39:Q39"/>
    <mergeCell ref="F45:I45"/>
    <mergeCell ref="F46:I46"/>
    <mergeCell ref="F47:I47"/>
    <mergeCell ref="F49:G49"/>
    <mergeCell ref="K58:M58"/>
    <mergeCell ref="O58:Q58"/>
    <mergeCell ref="L59:M59"/>
    <mergeCell ref="O59:Q59"/>
    <mergeCell ref="D65:F66"/>
    <mergeCell ref="G65:I66"/>
    <mergeCell ref="B61:C62"/>
    <mergeCell ref="D61:F62"/>
    <mergeCell ref="G61:I62"/>
    <mergeCell ref="B63:C64"/>
    <mergeCell ref="D63:F64"/>
    <mergeCell ref="G63:I64"/>
  </mergeCell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58E7-8673-4B8F-8F54-A8D1A8F3B109}">
  <sheetPr codeName="Sheet10">
    <tabColor theme="0" tint="-0.249977111117893"/>
  </sheetPr>
  <dimension ref="A1:AY869"/>
  <sheetViews>
    <sheetView showGridLines="0" topLeftCell="A5" zoomScale="90" zoomScaleNormal="90" zoomScalePageLayoutView="70" workbookViewId="0"/>
  </sheetViews>
  <sheetFormatPr defaultColWidth="8.85546875" defaultRowHeight="15"/>
  <cols>
    <col min="1" max="1" width="3" style="1" customWidth="1"/>
    <col min="2" max="2" width="12.7109375" style="1" customWidth="1"/>
    <col min="3" max="3" width="21.28515625" style="1" customWidth="1"/>
    <col min="4" max="4" width="12" style="1" bestFit="1" customWidth="1"/>
    <col min="5" max="5" width="19.285156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12.7109375" style="1" customWidth="1"/>
    <col min="12" max="12" width="21.28515625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9.7109375" customWidth="1"/>
    <col min="19" max="19" width="9.7109375" style="1" hidden="1" customWidth="1"/>
    <col min="20" max="20" width="24.5703125" style="9" hidden="1" customWidth="1"/>
    <col min="21" max="22" width="11.42578125" style="1" hidden="1" customWidth="1"/>
    <col min="23" max="24" width="8.85546875" style="1" hidden="1" customWidth="1"/>
    <col min="25" max="25" width="11.28515625" style="1" hidden="1" customWidth="1"/>
    <col min="26" max="26" width="8.85546875" style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9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9">
      <c r="B2" s="13" t="s">
        <v>157</v>
      </c>
      <c r="C2" s="14">
        <f ca="1">FORM!E14</f>
        <v>45849</v>
      </c>
      <c r="D2" s="15"/>
      <c r="F2"/>
      <c r="G2"/>
      <c r="H2"/>
      <c r="I2"/>
      <c r="J2" s="17"/>
      <c r="M2" s="18"/>
      <c r="O2" s="318" t="s">
        <v>158</v>
      </c>
      <c r="P2" s="558" t="s">
        <v>159</v>
      </c>
      <c r="Q2" s="558"/>
      <c r="S2" s="21"/>
    </row>
    <row r="3" spans="1:19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9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  <c r="S4" s="294"/>
    </row>
    <row r="5" spans="1:19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  <c r="S5" s="18"/>
    </row>
    <row r="6" spans="1:19">
      <c r="A6" s="18"/>
      <c r="B6" s="24" t="s">
        <v>162</v>
      </c>
      <c r="C6" s="25"/>
      <c r="D6" s="26" t="s">
        <v>73</v>
      </c>
      <c r="E6" s="501" t="str">
        <f>FORM!E16</f>
        <v>BUYER The Aguirre Townhouse Las Piñas</v>
      </c>
      <c r="F6" s="501"/>
      <c r="G6" s="501"/>
      <c r="H6" s="501"/>
      <c r="I6" s="501"/>
      <c r="J6" s="17"/>
      <c r="K6" s="535" t="str">
        <f>B6</f>
        <v>CLIENT'S NAME</v>
      </c>
      <c r="L6" s="535"/>
      <c r="M6" s="26" t="s">
        <v>73</v>
      </c>
      <c r="N6" s="536" t="str">
        <f t="shared" ref="N6:N13" si="0">E6</f>
        <v>BUYER The Aguirre Townhouse Las Piñas</v>
      </c>
      <c r="O6" s="536"/>
      <c r="P6" s="536"/>
      <c r="Q6" s="536"/>
      <c r="S6" s="26"/>
    </row>
    <row r="7" spans="1:19" ht="15.75" thickBot="1">
      <c r="A7" s="18"/>
      <c r="B7" s="27" t="s">
        <v>163</v>
      </c>
      <c r="C7" s="28"/>
      <c r="D7" s="26" t="s">
        <v>73</v>
      </c>
      <c r="E7" s="537" t="str">
        <f>'Pricelist Standard'!H3</f>
        <v>The Aguirre Townhouse - Las Piñas</v>
      </c>
      <c r="F7" s="474"/>
      <c r="G7" s="474"/>
      <c r="H7" s="474"/>
      <c r="I7" s="538"/>
      <c r="J7" s="17"/>
      <c r="K7" s="535" t="str">
        <f t="shared" ref="K7:K13" si="1">B7</f>
        <v>PROJECT NAME</v>
      </c>
      <c r="L7" s="535"/>
      <c r="M7" s="29" t="s">
        <v>73</v>
      </c>
      <c r="N7" s="536" t="str">
        <f t="shared" si="0"/>
        <v>The Aguirre Townhouse - Las Piñas</v>
      </c>
      <c r="O7" s="536"/>
      <c r="P7" s="536"/>
      <c r="Q7" s="536"/>
      <c r="S7" s="26"/>
    </row>
    <row r="8" spans="1:19">
      <c r="A8" s="30"/>
      <c r="B8" s="24" t="s">
        <v>258</v>
      </c>
      <c r="C8" s="25"/>
      <c r="D8" s="26" t="s">
        <v>73</v>
      </c>
      <c r="E8" s="553" t="str">
        <f>FORM!E4</f>
        <v>Unit 9</v>
      </c>
      <c r="F8" s="540"/>
      <c r="G8" s="540"/>
      <c r="H8" s="540"/>
      <c r="I8" s="541"/>
      <c r="J8" s="17"/>
      <c r="K8" s="535" t="str">
        <f t="shared" si="1"/>
        <v>HOUSE NUMBER</v>
      </c>
      <c r="L8" s="535"/>
      <c r="M8" s="26" t="s">
        <v>73</v>
      </c>
      <c r="N8" s="536" t="str">
        <f>E8</f>
        <v>Unit 9</v>
      </c>
      <c r="O8" s="536"/>
      <c r="P8" s="536"/>
      <c r="Q8" s="536"/>
      <c r="S8" s="26"/>
    </row>
    <row r="9" spans="1:19" ht="15" hidden="1" customHeight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tr">
        <f t="shared" si="1"/>
        <v>TOWER</v>
      </c>
      <c r="L9" s="535"/>
      <c r="M9" s="26" t="s">
        <v>73</v>
      </c>
      <c r="N9" s="536" t="str">
        <f t="shared" si="0"/>
        <v>N/A</v>
      </c>
      <c r="O9" s="536"/>
      <c r="P9" s="536"/>
      <c r="Q9" s="536"/>
      <c r="S9" s="26"/>
    </row>
    <row r="10" spans="1:19" ht="15.75" thickBot="1">
      <c r="A10" s="18"/>
      <c r="B10" s="27" t="s">
        <v>75</v>
      </c>
      <c r="C10" s="28"/>
      <c r="D10" s="26" t="s">
        <v>73</v>
      </c>
      <c r="E10" s="542" t="str">
        <f>FORM!E6</f>
        <v>2 Storey</v>
      </c>
      <c r="F10" s="543"/>
      <c r="G10" s="543"/>
      <c r="H10" s="543"/>
      <c r="I10" s="556"/>
      <c r="J10" s="17"/>
      <c r="K10" s="535" t="str">
        <f t="shared" si="1"/>
        <v>HOUSE TYPE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  <c r="S10" s="26"/>
    </row>
    <row r="11" spans="1:19">
      <c r="A11" s="18"/>
      <c r="B11" s="27" t="str">
        <f>FORM!B32</f>
        <v>FLOOR AREA</v>
      </c>
      <c r="C11" s="28"/>
      <c r="D11" s="26" t="s">
        <v>73</v>
      </c>
      <c r="E11" s="519">
        <f>FORM!E32</f>
        <v>142.4</v>
      </c>
      <c r="F11" s="520"/>
      <c r="G11" s="31" t="s">
        <v>170</v>
      </c>
      <c r="H11" s="533"/>
      <c r="I11" s="534"/>
      <c r="J11" s="17"/>
      <c r="K11" s="535" t="str">
        <f t="shared" si="1"/>
        <v>FLOOR AREA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  <c r="S11" s="18"/>
    </row>
    <row r="12" spans="1:19">
      <c r="A12" s="30"/>
      <c r="B12" s="27" t="str">
        <f>FORM!B33</f>
        <v>LOT AREA</v>
      </c>
      <c r="C12" s="25"/>
      <c r="D12" s="26" t="s">
        <v>73</v>
      </c>
      <c r="E12" s="519">
        <f>FORM!E33</f>
        <v>80</v>
      </c>
      <c r="F12" s="520"/>
      <c r="G12" s="31" t="s">
        <v>170</v>
      </c>
      <c r="H12" s="521"/>
      <c r="I12" s="522"/>
      <c r="J12" s="17"/>
      <c r="K12" s="535" t="str">
        <f t="shared" si="1"/>
        <v>LOT AREA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  <c r="S12" s="18"/>
    </row>
    <row r="13" spans="1:19">
      <c r="A13" s="32"/>
      <c r="B13" s="27" t="str">
        <f>FORM!B34</f>
        <v>ACTUAL LOT AREA</v>
      </c>
      <c r="C13" s="25"/>
      <c r="D13" s="26" t="s">
        <v>73</v>
      </c>
      <c r="E13" s="519">
        <f>FORM!E34</f>
        <v>80</v>
      </c>
      <c r="F13" s="520"/>
      <c r="G13" s="31" t="s">
        <v>170</v>
      </c>
      <c r="H13" s="521"/>
      <c r="I13" s="522"/>
      <c r="J13" s="17"/>
      <c r="K13" s="535" t="str">
        <f t="shared" si="1"/>
        <v>ACTUAL LOT AREA</v>
      </c>
      <c r="L13" s="535"/>
      <c r="M13" s="26" t="s">
        <v>73</v>
      </c>
      <c r="N13" s="524">
        <f t="shared" si="0"/>
        <v>80</v>
      </c>
      <c r="O13" s="525"/>
      <c r="P13" s="521" t="s">
        <v>170</v>
      </c>
      <c r="Q13" s="522"/>
      <c r="S13" s="18"/>
    </row>
    <row r="14" spans="1:19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  <c r="S14" s="18"/>
    </row>
    <row r="15" spans="1:19" ht="15" customHeight="1">
      <c r="A15" s="18"/>
      <c r="B15" s="24" t="s">
        <v>174</v>
      </c>
      <c r="C15" s="24"/>
      <c r="D15" s="40" t="s">
        <v>73</v>
      </c>
      <c r="E15" s="41"/>
      <c r="F15" s="526">
        <f>VLOOKUP(E8,'Pricelist Standard'!C9:AV17, 27, FALSE)</f>
        <v>8900000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  <c r="S15" s="294"/>
    </row>
    <row r="16" spans="1:19">
      <c r="A16" s="18"/>
      <c r="B16" s="28" t="s">
        <v>179</v>
      </c>
      <c r="C16" s="28"/>
      <c r="D16" s="42" t="s">
        <v>73</v>
      </c>
      <c r="E16" s="43"/>
      <c r="F16" s="551"/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  <c r="S16" s="294"/>
    </row>
    <row r="17" spans="1:48">
      <c r="A17" s="18"/>
      <c r="B17" s="28" t="s">
        <v>107</v>
      </c>
      <c r="C17" s="28"/>
      <c r="D17" s="17" t="s">
        <v>73</v>
      </c>
      <c r="E17" s="41"/>
      <c r="F17" s="526">
        <f>F15-F16</f>
        <v>8900000</v>
      </c>
      <c r="G17" s="526"/>
      <c r="H17" s="526"/>
      <c r="I17" s="527"/>
      <c r="J17" s="19"/>
      <c r="K17" s="501" t="s">
        <v>18</v>
      </c>
      <c r="L17" s="501"/>
      <c r="M17" s="46">
        <f ca="1">C2</f>
        <v>45849</v>
      </c>
      <c r="N17" s="490">
        <f>F25</f>
        <v>50000</v>
      </c>
      <c r="O17" s="490"/>
      <c r="P17" s="504"/>
      <c r="Q17" s="505"/>
      <c r="S17" s="26"/>
      <c r="U17" s="133">
        <f ca="1">M17</f>
        <v>45849</v>
      </c>
      <c r="V17" s="133">
        <f ca="1">EDATE(U17,E29)</f>
        <v>46579</v>
      </c>
    </row>
    <row r="18" spans="1:48" ht="13.9" customHeight="1">
      <c r="A18" s="18"/>
      <c r="B18" s="28" t="s">
        <v>180</v>
      </c>
      <c r="C18" s="45"/>
      <c r="D18" s="17"/>
      <c r="E18" s="145"/>
      <c r="F18" s="150">
        <f>F17/E11</f>
        <v>62500</v>
      </c>
      <c r="G18" s="146"/>
      <c r="H18" s="146"/>
      <c r="I18" s="147"/>
      <c r="J18" s="19"/>
      <c r="K18" s="504" t="str">
        <f>IF($E$29&gt;=S18, T18,"")</f>
        <v>Spot Equity</v>
      </c>
      <c r="L18" s="505"/>
      <c r="M18" s="46">
        <f ca="1">IF($E$29&gt;=S18, U18,"")</f>
        <v>46619</v>
      </c>
      <c r="N18" s="502">
        <f>F26</f>
        <v>426150</v>
      </c>
      <c r="O18" s="503"/>
      <c r="P18" s="504"/>
      <c r="Q18" s="505"/>
      <c r="S18" s="128">
        <v>1</v>
      </c>
      <c r="T18" s="140" t="s">
        <v>259</v>
      </c>
      <c r="U18" s="46">
        <f ca="1">IF(DAY(U17)=31,W20,Y20)</f>
        <v>46619</v>
      </c>
      <c r="V18" s="133"/>
    </row>
    <row r="19" spans="1:48" ht="14.25" customHeight="1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4" t="str">
        <f>IF($E$29&gt;=S19, T19,"")</f>
        <v>1st Equity Payment</v>
      </c>
      <c r="L19" s="505"/>
      <c r="M19" s="46">
        <f ca="1">IF($E$29&gt;=S19, U19,"")</f>
        <v>45889</v>
      </c>
      <c r="N19" s="502">
        <f>IF($E$29&gt;=S19, $F$29,"")</f>
        <v>59518.75</v>
      </c>
      <c r="O19" s="503"/>
      <c r="P19" s="504"/>
      <c r="Q19" s="505"/>
      <c r="S19" s="128">
        <v>1</v>
      </c>
      <c r="T19" s="140" t="s">
        <v>181</v>
      </c>
      <c r="U19" s="46">
        <f ca="1">IF(DAY(U17)=31,W21,Y21)</f>
        <v>45889</v>
      </c>
      <c r="V19" s="134"/>
      <c r="W19" s="511" t="s">
        <v>182</v>
      </c>
      <c r="X19" s="511"/>
      <c r="Y19" s="134"/>
    </row>
    <row r="20" spans="1:48" ht="13.5" customHeight="1">
      <c r="A20" s="30"/>
      <c r="B20" s="44" t="s">
        <v>188</v>
      </c>
      <c r="C20" s="45"/>
      <c r="D20" s="26" t="s">
        <v>73</v>
      </c>
      <c r="E20" s="50">
        <f>'Pricelist Standard'!AD7</f>
        <v>7.0000000000000007E-2</v>
      </c>
      <c r="F20" s="548">
        <f>E20*F15</f>
        <v>623000.00000000012</v>
      </c>
      <c r="G20" s="549"/>
      <c r="H20" s="549"/>
      <c r="I20" s="550"/>
      <c r="J20" s="19"/>
      <c r="K20" s="504" t="str">
        <f t="shared" ref="K20:K42" si="2">IF($E$29&gt;=S20, T20,"")</f>
        <v>2nd Equity Payment</v>
      </c>
      <c r="L20" s="505"/>
      <c r="M20" s="46">
        <f t="shared" ref="M20:M42" ca="1" si="3">IF($E$29&gt;=S20, U20,"")</f>
        <v>45920</v>
      </c>
      <c r="N20" s="502">
        <f t="shared" ref="N20:N33" si="4">IF($E$29&gt;=S20, $F$29,"")</f>
        <v>59518.75</v>
      </c>
      <c r="O20" s="503"/>
      <c r="P20" s="504"/>
      <c r="Q20" s="505"/>
      <c r="S20" s="128">
        <f>S19+1</f>
        <v>2</v>
      </c>
      <c r="T20" s="140" t="s">
        <v>183</v>
      </c>
      <c r="U20" s="46">
        <f t="shared" ref="U20:U42" ca="1" si="5">IF(AND(DAY(U19)&gt;=6,DAY(U19)&lt;=20),DATE(YEAR(U19),MONTH(U19)+1,DAY(20)),IF(AND(DAY(U19)&gt;=21,DAY(U19)&lt;=30),DATE(YEAR(U19),MONTH(U19)+1,IF(DAY(EOMONTH(U19,1))&lt;30,DAY(EOMONTH(U19,1)),DAY(30))),DATE(YEAR(U19),MONTH(U19)+1,DAY(5))))</f>
        <v>45920</v>
      </c>
      <c r="V20" s="135" t="s">
        <v>184</v>
      </c>
      <c r="W20" s="509" t="b">
        <f ca="1">IF(DAY(U17)=31,DATE(YEAR(V17),MONTH(V17)+2,DAY(5)))</f>
        <v>0</v>
      </c>
      <c r="X20" s="510"/>
      <c r="Y20" s="136">
        <f ca="1">IF(AND(DAY(V17)&gt;=6,DAY(V17)&lt;=20),DATE(YEAR(V17),MONTH(V17)+1,DAY(20)),IF(AND(DAY(V17)&gt;=21,DAY(V17)&lt;=31),DATE(YEAR(V17),MONTH(V17)+1,IF(DAY(EOMONTH(V17,1))&lt;30,DAY(EOMONTH(V17,1)),DAY(30))),DATE(YEAR(V17),MONTH(V17)+1,DAY(5))))</f>
        <v>46619</v>
      </c>
      <c r="AV20" s="1"/>
    </row>
    <row r="21" spans="1:48" ht="15.75" customHeight="1">
      <c r="A21" s="32"/>
      <c r="B21" s="35"/>
      <c r="C21" s="20"/>
      <c r="D21" s="26"/>
      <c r="E21" s="17"/>
      <c r="F21" s="47"/>
      <c r="G21" s="47"/>
      <c r="H21" s="47"/>
      <c r="I21" s="47"/>
      <c r="J21" s="19"/>
      <c r="K21" s="504" t="str">
        <f t="shared" si="2"/>
        <v>3rd Equity Payment</v>
      </c>
      <c r="L21" s="505"/>
      <c r="M21" s="46">
        <f t="shared" ca="1" si="3"/>
        <v>45950</v>
      </c>
      <c r="N21" s="502">
        <f t="shared" si="4"/>
        <v>59518.75</v>
      </c>
      <c r="O21" s="503"/>
      <c r="P21" s="504"/>
      <c r="Q21" s="505"/>
      <c r="S21" s="128">
        <f t="shared" ref="S21:S42" si="6">S20+1</f>
        <v>3</v>
      </c>
      <c r="T21" s="140" t="s">
        <v>186</v>
      </c>
      <c r="U21" s="46">
        <f t="shared" ca="1" si="5"/>
        <v>45950</v>
      </c>
      <c r="V21" s="135" t="s">
        <v>187</v>
      </c>
      <c r="W21" s="509" t="b">
        <f ca="1">IF(DAY(U17)=31,DATE(YEAR(U17),MONTH(U17)+2,DAY(5)))</f>
        <v>0</v>
      </c>
      <c r="X21" s="510"/>
      <c r="Y21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1" s="1"/>
    </row>
    <row r="22" spans="1:48" ht="13.15" customHeight="1">
      <c r="A22" s="18"/>
      <c r="B22" s="44" t="s">
        <v>17</v>
      </c>
      <c r="C22" s="45"/>
      <c r="D22" s="17" t="s">
        <v>73</v>
      </c>
      <c r="E22" s="51"/>
      <c r="F22" s="476">
        <f>F17+F20</f>
        <v>9523000</v>
      </c>
      <c r="G22" s="477"/>
      <c r="H22" s="477"/>
      <c r="I22" s="478"/>
      <c r="J22" s="19"/>
      <c r="K22" s="504" t="str">
        <f t="shared" si="2"/>
        <v>4th Equity Payment</v>
      </c>
      <c r="L22" s="505"/>
      <c r="M22" s="46">
        <f t="shared" ca="1" si="3"/>
        <v>45981</v>
      </c>
      <c r="N22" s="502">
        <f t="shared" si="4"/>
        <v>59518.75</v>
      </c>
      <c r="O22" s="503"/>
      <c r="P22" s="504"/>
      <c r="Q22" s="505"/>
      <c r="S22" s="128">
        <f t="shared" si="6"/>
        <v>4</v>
      </c>
      <c r="T22" s="140" t="s">
        <v>189</v>
      </c>
      <c r="U22" s="46">
        <f t="shared" ca="1" si="5"/>
        <v>45981</v>
      </c>
      <c r="Y22" s="136"/>
      <c r="AV22" s="1"/>
    </row>
    <row r="23" spans="1:48" ht="13.15" customHeight="1">
      <c r="A23" s="18"/>
      <c r="B23" s="35"/>
      <c r="C23" s="20"/>
      <c r="D23" s="26"/>
      <c r="E23" s="52"/>
      <c r="F23" s="155"/>
      <c r="G23" s="54"/>
      <c r="H23" s="54"/>
      <c r="I23" s="55"/>
      <c r="J23" s="19"/>
      <c r="K23" s="504" t="str">
        <f t="shared" si="2"/>
        <v>5th Equity Payment</v>
      </c>
      <c r="L23" s="505"/>
      <c r="M23" s="46">
        <f t="shared" ca="1" si="3"/>
        <v>46011</v>
      </c>
      <c r="N23" s="502">
        <f t="shared" si="4"/>
        <v>59518.75</v>
      </c>
      <c r="O23" s="503"/>
      <c r="P23" s="504"/>
      <c r="Q23" s="505"/>
      <c r="S23" s="128">
        <f t="shared" si="6"/>
        <v>5</v>
      </c>
      <c r="T23" s="140" t="s">
        <v>190</v>
      </c>
      <c r="U23" s="46">
        <f t="shared" ca="1" si="5"/>
        <v>46011</v>
      </c>
      <c r="AV23" s="1"/>
    </row>
    <row r="24" spans="1:48" ht="15" customHeight="1">
      <c r="A24" s="18"/>
      <c r="B24" s="24" t="s">
        <v>260</v>
      </c>
      <c r="C24" s="25"/>
      <c r="D24" s="40" t="s">
        <v>73</v>
      </c>
      <c r="E24" s="56">
        <f>FORM!E10</f>
        <v>0.05</v>
      </c>
      <c r="F24" s="476">
        <f>F22*E24</f>
        <v>476150</v>
      </c>
      <c r="G24" s="477"/>
      <c r="H24" s="477"/>
      <c r="I24" s="478"/>
      <c r="J24" s="19"/>
      <c r="K24" s="504" t="str">
        <f t="shared" si="2"/>
        <v>6th Equity Payment</v>
      </c>
      <c r="L24" s="505"/>
      <c r="M24" s="46">
        <f t="shared" ca="1" si="3"/>
        <v>46042</v>
      </c>
      <c r="N24" s="502">
        <f t="shared" si="4"/>
        <v>59518.75</v>
      </c>
      <c r="O24" s="503"/>
      <c r="P24" s="504"/>
      <c r="Q24" s="505"/>
      <c r="S24" s="128">
        <f t="shared" si="6"/>
        <v>6</v>
      </c>
      <c r="T24" s="140" t="s">
        <v>191</v>
      </c>
      <c r="U24" s="46">
        <f t="shared" ca="1" si="5"/>
        <v>46042</v>
      </c>
      <c r="AV24" s="1"/>
    </row>
    <row r="25" spans="1:48" ht="13.15" customHeight="1">
      <c r="A25" s="18"/>
      <c r="B25" s="498" t="s">
        <v>197</v>
      </c>
      <c r="C25" s="498"/>
      <c r="D25" s="42" t="str">
        <f>D24</f>
        <v>:</v>
      </c>
      <c r="E25" s="57"/>
      <c r="F25" s="58">
        <f>FORM!E8</f>
        <v>50000</v>
      </c>
      <c r="G25" s="58"/>
      <c r="H25" s="499"/>
      <c r="I25" s="500"/>
      <c r="J25" s="19"/>
      <c r="K25" s="504" t="str">
        <f t="shared" si="2"/>
        <v>7th Equity Payment</v>
      </c>
      <c r="L25" s="505"/>
      <c r="M25" s="46">
        <f t="shared" ca="1" si="3"/>
        <v>46073</v>
      </c>
      <c r="N25" s="502">
        <f t="shared" si="4"/>
        <v>59518.75</v>
      </c>
      <c r="O25" s="503"/>
      <c r="P25" s="127"/>
      <c r="Q25" s="128"/>
      <c r="S25" s="128">
        <f t="shared" si="6"/>
        <v>7</v>
      </c>
      <c r="T25" s="140" t="s">
        <v>192</v>
      </c>
      <c r="U25" s="46">
        <f t="shared" ca="1" si="5"/>
        <v>46073</v>
      </c>
      <c r="AV25" s="1"/>
    </row>
    <row r="26" spans="1:48" ht="13.15" customHeight="1">
      <c r="A26" s="18"/>
      <c r="B26" s="44" t="s">
        <v>261</v>
      </c>
      <c r="C26" s="44"/>
      <c r="D26" s="26"/>
      <c r="E26" s="57"/>
      <c r="F26" s="58">
        <f>F24-F25</f>
        <v>426150</v>
      </c>
      <c r="G26" s="58"/>
      <c r="H26" s="415"/>
      <c r="I26" s="416"/>
      <c r="J26" s="19"/>
      <c r="K26" s="504" t="str">
        <f t="shared" si="2"/>
        <v>8th Equity Payment</v>
      </c>
      <c r="L26" s="505"/>
      <c r="M26" s="46">
        <f t="shared" ca="1" si="3"/>
        <v>46101</v>
      </c>
      <c r="N26" s="502">
        <f t="shared" si="4"/>
        <v>59518.75</v>
      </c>
      <c r="O26" s="503"/>
      <c r="P26" s="127"/>
      <c r="Q26" s="128"/>
      <c r="S26" s="128">
        <f t="shared" si="6"/>
        <v>8</v>
      </c>
      <c r="T26" s="140" t="s">
        <v>194</v>
      </c>
      <c r="U26" s="46">
        <f t="shared" ca="1" si="5"/>
        <v>46101</v>
      </c>
      <c r="AV26" s="1"/>
    </row>
    <row r="27" spans="1:48" ht="13.15" customHeight="1">
      <c r="A27" s="18"/>
      <c r="B27" s="20"/>
      <c r="C27" s="20"/>
      <c r="D27" s="20"/>
      <c r="E27" s="20"/>
      <c r="F27" s="20"/>
      <c r="G27" s="20"/>
      <c r="H27" s="20"/>
      <c r="I27" s="20"/>
      <c r="J27" s="19"/>
      <c r="K27" s="504" t="str">
        <f t="shared" si="2"/>
        <v>9th Equity Payment</v>
      </c>
      <c r="L27" s="505"/>
      <c r="M27" s="46">
        <f t="shared" ca="1" si="3"/>
        <v>46132</v>
      </c>
      <c r="N27" s="502">
        <f t="shared" si="4"/>
        <v>59518.75</v>
      </c>
      <c r="O27" s="503"/>
      <c r="P27" s="127"/>
      <c r="Q27" s="128"/>
      <c r="S27" s="128">
        <f t="shared" si="6"/>
        <v>9</v>
      </c>
      <c r="T27" s="140" t="s">
        <v>196</v>
      </c>
      <c r="U27" s="46">
        <f t="shared" ca="1" si="5"/>
        <v>46132</v>
      </c>
      <c r="AV27" s="1"/>
    </row>
    <row r="28" spans="1:48" ht="13.15" customHeight="1">
      <c r="A28" s="18"/>
      <c r="B28" s="44" t="s">
        <v>262</v>
      </c>
      <c r="C28" s="45"/>
      <c r="D28" s="17" t="s">
        <v>73</v>
      </c>
      <c r="E28" s="418">
        <v>0.15</v>
      </c>
      <c r="F28" s="476">
        <f>F22*E28</f>
        <v>1428450</v>
      </c>
      <c r="G28" s="477"/>
      <c r="H28" s="477"/>
      <c r="I28" s="478"/>
      <c r="J28" s="19"/>
      <c r="K28" s="504" t="str">
        <f t="shared" si="2"/>
        <v>10th Equity Payment</v>
      </c>
      <c r="L28" s="505"/>
      <c r="M28" s="46">
        <f t="shared" ca="1" si="3"/>
        <v>46162</v>
      </c>
      <c r="N28" s="502">
        <f t="shared" si="4"/>
        <v>59518.75</v>
      </c>
      <c r="O28" s="503"/>
      <c r="P28" s="127"/>
      <c r="Q28" s="128"/>
      <c r="S28" s="128">
        <f t="shared" si="6"/>
        <v>10</v>
      </c>
      <c r="T28" s="140" t="s">
        <v>198</v>
      </c>
      <c r="U28" s="46">
        <f t="shared" ca="1" si="5"/>
        <v>46162</v>
      </c>
      <c r="AV28" s="1"/>
    </row>
    <row r="29" spans="1:48">
      <c r="A29" s="18"/>
      <c r="B29" s="557" t="s">
        <v>263</v>
      </c>
      <c r="C29" s="557"/>
      <c r="D29" s="17" t="s">
        <v>73</v>
      </c>
      <c r="E29" s="59">
        <v>24</v>
      </c>
      <c r="F29" s="476">
        <f>F28/E29</f>
        <v>59518.75</v>
      </c>
      <c r="G29" s="477"/>
      <c r="H29" s="477"/>
      <c r="I29" s="478"/>
      <c r="J29" s="19"/>
      <c r="K29" s="504" t="str">
        <f t="shared" si="2"/>
        <v>11th Equity Payment</v>
      </c>
      <c r="L29" s="505"/>
      <c r="M29" s="46">
        <f t="shared" ca="1" si="3"/>
        <v>46193</v>
      </c>
      <c r="N29" s="502">
        <f t="shared" si="4"/>
        <v>59518.75</v>
      </c>
      <c r="O29" s="503"/>
      <c r="P29" s="127"/>
      <c r="Q29" s="128"/>
      <c r="S29" s="128">
        <f t="shared" si="6"/>
        <v>11</v>
      </c>
      <c r="T29" s="140" t="s">
        <v>200</v>
      </c>
      <c r="U29" s="46">
        <f t="shared" ca="1" si="5"/>
        <v>46193</v>
      </c>
      <c r="AV29" s="1"/>
    </row>
    <row r="30" spans="1:48">
      <c r="A30" s="18"/>
      <c r="B30" s="35"/>
      <c r="C30" s="20"/>
      <c r="D30" s="17"/>
      <c r="E30" s="26"/>
      <c r="F30" s="47"/>
      <c r="G30" s="47"/>
      <c r="H30" s="47"/>
      <c r="I30" s="47"/>
      <c r="J30" s="19"/>
      <c r="K30" s="504" t="str">
        <f t="shared" si="2"/>
        <v>12th Equity Payment</v>
      </c>
      <c r="L30" s="505"/>
      <c r="M30" s="46">
        <f t="shared" ca="1" si="3"/>
        <v>46223</v>
      </c>
      <c r="N30" s="502">
        <f t="shared" si="4"/>
        <v>59518.75</v>
      </c>
      <c r="O30" s="503"/>
      <c r="P30" s="127"/>
      <c r="Q30" s="128"/>
      <c r="S30" s="128">
        <f t="shared" si="6"/>
        <v>12</v>
      </c>
      <c r="T30" s="140" t="s">
        <v>201</v>
      </c>
      <c r="U30" s="46">
        <f t="shared" ca="1" si="5"/>
        <v>46223</v>
      </c>
      <c r="AV30" s="1"/>
    </row>
    <row r="31" spans="1:48">
      <c r="A31" s="18"/>
      <c r="B31" s="44" t="s">
        <v>207</v>
      </c>
      <c r="C31" s="44"/>
      <c r="D31" s="17" t="s">
        <v>73</v>
      </c>
      <c r="E31" s="67">
        <f>100%-E24-E28</f>
        <v>0.79999999999999993</v>
      </c>
      <c r="F31" s="476">
        <f>F22*E31</f>
        <v>7618399.9999999991</v>
      </c>
      <c r="G31" s="477"/>
      <c r="H31" s="477"/>
      <c r="I31" s="478"/>
      <c r="J31" s="19"/>
      <c r="K31" s="504" t="str">
        <f t="shared" si="2"/>
        <v>13th Equity Payment</v>
      </c>
      <c r="L31" s="505"/>
      <c r="M31" s="46">
        <f t="shared" ca="1" si="3"/>
        <v>46254</v>
      </c>
      <c r="N31" s="502">
        <f t="shared" si="4"/>
        <v>59518.75</v>
      </c>
      <c r="O31" s="503"/>
      <c r="P31" s="127"/>
      <c r="Q31" s="128"/>
      <c r="S31" s="128">
        <f t="shared" si="6"/>
        <v>13</v>
      </c>
      <c r="T31" s="140" t="s">
        <v>264</v>
      </c>
      <c r="U31" s="46">
        <f t="shared" ca="1" si="5"/>
        <v>46254</v>
      </c>
      <c r="AV31" s="1"/>
    </row>
    <row r="32" spans="1:48">
      <c r="A32" s="18"/>
      <c r="B32" s="20"/>
      <c r="C32" s="35"/>
      <c r="D32" s="65"/>
      <c r="E32" s="65"/>
      <c r="F32" s="65"/>
      <c r="G32" s="70"/>
      <c r="H32" s="70"/>
      <c r="I32" s="70"/>
      <c r="J32" s="19"/>
      <c r="K32" s="504" t="str">
        <f t="shared" si="2"/>
        <v>14th Equity Payment</v>
      </c>
      <c r="L32" s="505"/>
      <c r="M32" s="46">
        <f t="shared" ca="1" si="3"/>
        <v>46285</v>
      </c>
      <c r="N32" s="502">
        <f t="shared" si="4"/>
        <v>59518.75</v>
      </c>
      <c r="O32" s="503"/>
      <c r="P32" s="127"/>
      <c r="Q32" s="128"/>
      <c r="S32" s="128">
        <f t="shared" si="6"/>
        <v>14</v>
      </c>
      <c r="T32" s="140" t="s">
        <v>265</v>
      </c>
      <c r="U32" s="46">
        <f t="shared" ca="1" si="5"/>
        <v>46285</v>
      </c>
      <c r="AV32" s="1"/>
    </row>
    <row r="33" spans="1:48">
      <c r="A33" s="18"/>
      <c r="B33" s="45" t="s">
        <v>210</v>
      </c>
      <c r="C33" s="44"/>
      <c r="D33" s="71"/>
      <c r="E33" s="72"/>
      <c r="F33" s="73"/>
      <c r="G33" s="70"/>
      <c r="H33" s="70"/>
      <c r="I33" s="70"/>
      <c r="J33" s="19"/>
      <c r="K33" s="504" t="str">
        <f t="shared" si="2"/>
        <v>15th Equity Payment</v>
      </c>
      <c r="L33" s="505"/>
      <c r="M33" s="46">
        <f t="shared" ca="1" si="3"/>
        <v>46315</v>
      </c>
      <c r="N33" s="502">
        <f t="shared" si="4"/>
        <v>59518.75</v>
      </c>
      <c r="O33" s="503"/>
      <c r="P33" s="127"/>
      <c r="Q33" s="128"/>
      <c r="S33" s="128">
        <f t="shared" si="6"/>
        <v>15</v>
      </c>
      <c r="T33" s="140" t="s">
        <v>266</v>
      </c>
      <c r="U33" s="46">
        <f t="shared" ca="1" si="5"/>
        <v>46315</v>
      </c>
      <c r="AV33" s="1"/>
    </row>
    <row r="34" spans="1:48">
      <c r="A34" s="18"/>
      <c r="B34" s="18"/>
      <c r="C34" s="74"/>
      <c r="D34" s="74"/>
      <c r="E34" s="75"/>
      <c r="F34" s="71"/>
      <c r="G34" s="71"/>
      <c r="H34" s="71"/>
      <c r="I34" s="71"/>
      <c r="J34" s="19"/>
      <c r="K34" s="504" t="str">
        <f t="shared" si="2"/>
        <v>16th Equity Payment</v>
      </c>
      <c r="L34" s="505"/>
      <c r="M34" s="46">
        <f t="shared" ca="1" si="3"/>
        <v>46346</v>
      </c>
      <c r="N34" s="502">
        <f t="shared" ref="N34:N42" si="7">IF($E$29&gt;=S34, $F$29,"")</f>
        <v>59518.75</v>
      </c>
      <c r="O34" s="503"/>
      <c r="P34" s="127"/>
      <c r="Q34" s="128"/>
      <c r="S34" s="128">
        <f t="shared" si="6"/>
        <v>16</v>
      </c>
      <c r="T34" s="140" t="s">
        <v>267</v>
      </c>
      <c r="U34" s="46">
        <f t="shared" ca="1" si="5"/>
        <v>46346</v>
      </c>
      <c r="AV34" s="1"/>
    </row>
    <row r="35" spans="1:48">
      <c r="A35" s="18"/>
      <c r="B35" s="76" t="s">
        <v>213</v>
      </c>
      <c r="C35" s="76" t="s">
        <v>214</v>
      </c>
      <c r="D35" s="76" t="s">
        <v>215</v>
      </c>
      <c r="E35" s="76" t="s">
        <v>216</v>
      </c>
      <c r="F35" s="489" t="s">
        <v>217</v>
      </c>
      <c r="G35" s="489"/>
      <c r="H35" s="489"/>
      <c r="I35" s="489"/>
      <c r="J35" s="19"/>
      <c r="K35" s="504" t="str">
        <f t="shared" si="2"/>
        <v>17th Equity Payment</v>
      </c>
      <c r="L35" s="505"/>
      <c r="M35" s="46">
        <f t="shared" ca="1" si="3"/>
        <v>46376</v>
      </c>
      <c r="N35" s="502">
        <f t="shared" si="7"/>
        <v>59518.75</v>
      </c>
      <c r="O35" s="503"/>
      <c r="P35" s="127"/>
      <c r="Q35" s="128"/>
      <c r="S35" s="128">
        <f t="shared" si="6"/>
        <v>17</v>
      </c>
      <c r="T35" s="140" t="s">
        <v>268</v>
      </c>
      <c r="U35" s="46">
        <f t="shared" ca="1" si="5"/>
        <v>46376</v>
      </c>
      <c r="AV35" s="1"/>
    </row>
    <row r="36" spans="1:48">
      <c r="A36" s="18"/>
      <c r="B36" s="77">
        <v>5</v>
      </c>
      <c r="C36" s="78">
        <v>7.0000000000000007E-2</v>
      </c>
      <c r="D36" s="79">
        <f>PMT(C36/12,B36*12,-1)</f>
        <v>1.9801198540349535E-2</v>
      </c>
      <c r="E36" s="80">
        <f>F31*D36</f>
        <v>150853.45095979888</v>
      </c>
      <c r="F36" s="490">
        <f>E36/0.33</f>
        <v>457131.66957514809</v>
      </c>
      <c r="G36" s="490"/>
      <c r="H36" s="490"/>
      <c r="I36" s="490"/>
      <c r="J36" s="17"/>
      <c r="K36" s="504" t="str">
        <f t="shared" si="2"/>
        <v>18th Equity Payment</v>
      </c>
      <c r="L36" s="505"/>
      <c r="M36" s="46">
        <f t="shared" ca="1" si="3"/>
        <v>46407</v>
      </c>
      <c r="N36" s="502">
        <f t="shared" si="7"/>
        <v>59518.75</v>
      </c>
      <c r="O36" s="503"/>
      <c r="P36" s="127"/>
      <c r="Q36" s="128"/>
      <c r="S36" s="128">
        <f t="shared" si="6"/>
        <v>18</v>
      </c>
      <c r="T36" s="140" t="s">
        <v>269</v>
      </c>
      <c r="U36" s="46">
        <f t="shared" ca="1" si="5"/>
        <v>46407</v>
      </c>
      <c r="AV36" s="1"/>
    </row>
    <row r="37" spans="1:48">
      <c r="A37" s="18"/>
      <c r="B37" s="77">
        <v>10</v>
      </c>
      <c r="C37" s="78">
        <f>C36</f>
        <v>7.0000000000000007E-2</v>
      </c>
      <c r="D37" s="79">
        <f>PMT(C37/12,B37*12,-1)</f>
        <v>1.1610847921862406E-2</v>
      </c>
      <c r="E37" s="80">
        <f>F31*D37</f>
        <v>88456.083807916541</v>
      </c>
      <c r="F37" s="490">
        <f>E37/0.33</f>
        <v>268048.7388118683</v>
      </c>
      <c r="G37" s="490"/>
      <c r="H37" s="490"/>
      <c r="I37" s="490"/>
      <c r="J37" s="17"/>
      <c r="K37" s="504" t="str">
        <f t="shared" si="2"/>
        <v>19th Equity Payment</v>
      </c>
      <c r="L37" s="505"/>
      <c r="M37" s="46">
        <f t="shared" ca="1" si="3"/>
        <v>46438</v>
      </c>
      <c r="N37" s="502">
        <f t="shared" si="7"/>
        <v>59518.75</v>
      </c>
      <c r="O37" s="503"/>
      <c r="P37" s="127"/>
      <c r="Q37" s="128"/>
      <c r="S37" s="128">
        <f t="shared" si="6"/>
        <v>19</v>
      </c>
      <c r="T37" s="140" t="s">
        <v>270</v>
      </c>
      <c r="U37" s="46">
        <f t="shared" ca="1" si="5"/>
        <v>46438</v>
      </c>
      <c r="AV37" s="1"/>
    </row>
    <row r="38" spans="1:48">
      <c r="A38" s="18"/>
      <c r="B38" s="77">
        <v>15</v>
      </c>
      <c r="C38" s="78">
        <f>C37</f>
        <v>7.0000000000000007E-2</v>
      </c>
      <c r="D38" s="79">
        <f t="shared" ref="D38:D39" si="8">PMT(C38/12,B38*12,-1)</f>
        <v>8.988282708524269E-3</v>
      </c>
      <c r="E38" s="80">
        <f>F31*D38</f>
        <v>68476.332986621288</v>
      </c>
      <c r="F38" s="490">
        <f>E38/0.33</f>
        <v>207504.03935339782</v>
      </c>
      <c r="G38" s="490"/>
      <c r="H38" s="490"/>
      <c r="I38" s="490"/>
      <c r="J38" s="74"/>
      <c r="K38" s="504" t="str">
        <f t="shared" si="2"/>
        <v>20th Equity Payment</v>
      </c>
      <c r="L38" s="505"/>
      <c r="M38" s="46">
        <f t="shared" ca="1" si="3"/>
        <v>46466</v>
      </c>
      <c r="N38" s="502">
        <f t="shared" si="7"/>
        <v>59518.75</v>
      </c>
      <c r="O38" s="503"/>
      <c r="P38" s="127"/>
      <c r="Q38" s="128"/>
      <c r="S38" s="128">
        <f t="shared" si="6"/>
        <v>20</v>
      </c>
      <c r="T38" s="140" t="s">
        <v>271</v>
      </c>
      <c r="U38" s="46">
        <f t="shared" ca="1" si="5"/>
        <v>46466</v>
      </c>
      <c r="AV38" s="1"/>
    </row>
    <row r="39" spans="1:48">
      <c r="A39" s="18"/>
      <c r="B39" s="77">
        <v>20</v>
      </c>
      <c r="C39" s="78">
        <f>C38</f>
        <v>7.0000000000000007E-2</v>
      </c>
      <c r="D39" s="79">
        <f t="shared" si="8"/>
        <v>7.7529893561887461E-3</v>
      </c>
      <c r="E39" s="80">
        <f>F31*D39</f>
        <v>59065.374111188336</v>
      </c>
      <c r="F39" s="490">
        <f>E39/0.33</f>
        <v>178985.98215511616</v>
      </c>
      <c r="G39" s="490"/>
      <c r="H39" s="490"/>
      <c r="I39" s="490"/>
      <c r="J39" s="19"/>
      <c r="K39" s="504" t="str">
        <f t="shared" si="2"/>
        <v>21st Equity Payment</v>
      </c>
      <c r="L39" s="505"/>
      <c r="M39" s="46">
        <f t="shared" ca="1" si="3"/>
        <v>46497</v>
      </c>
      <c r="N39" s="502">
        <f t="shared" si="7"/>
        <v>59518.75</v>
      </c>
      <c r="O39" s="503"/>
      <c r="P39" s="127"/>
      <c r="Q39" s="128"/>
      <c r="S39" s="128">
        <f t="shared" si="6"/>
        <v>21</v>
      </c>
      <c r="T39" s="140" t="s">
        <v>272</v>
      </c>
      <c r="U39" s="46">
        <f t="shared" ca="1" si="5"/>
        <v>46497</v>
      </c>
      <c r="AV39" s="1"/>
    </row>
    <row r="40" spans="1:48">
      <c r="A40" s="18"/>
      <c r="B40" s="81" t="s">
        <v>226</v>
      </c>
      <c r="C40" s="82"/>
      <c r="D40" s="83"/>
      <c r="E40" s="129"/>
      <c r="F40" s="130"/>
      <c r="G40" s="130"/>
      <c r="H40" s="130"/>
      <c r="I40" s="130"/>
      <c r="J40" s="19"/>
      <c r="K40" s="504" t="str">
        <f t="shared" si="2"/>
        <v>22nd Equity Payment</v>
      </c>
      <c r="L40" s="505"/>
      <c r="M40" s="46">
        <f t="shared" ca="1" si="3"/>
        <v>46527</v>
      </c>
      <c r="N40" s="502">
        <f t="shared" si="7"/>
        <v>59518.75</v>
      </c>
      <c r="O40" s="503"/>
      <c r="P40" s="494"/>
      <c r="Q40" s="495"/>
      <c r="S40" s="128">
        <f t="shared" si="6"/>
        <v>22</v>
      </c>
      <c r="T40" s="140" t="s">
        <v>273</v>
      </c>
      <c r="U40" s="46">
        <f t="shared" ca="1" si="5"/>
        <v>46527</v>
      </c>
      <c r="AV40" s="1"/>
    </row>
    <row r="41" spans="1:48">
      <c r="A41" s="18"/>
      <c r="B41" s="81" t="s">
        <v>227</v>
      </c>
      <c r="C41" s="82"/>
      <c r="D41" s="83"/>
      <c r="E41" s="129"/>
      <c r="F41" s="130"/>
      <c r="G41" s="130"/>
      <c r="H41" s="130"/>
      <c r="I41" s="130"/>
      <c r="J41" s="19"/>
      <c r="K41" s="504" t="str">
        <f t="shared" si="2"/>
        <v>23rd Equity Payment</v>
      </c>
      <c r="L41" s="505"/>
      <c r="M41" s="46">
        <f t="shared" ca="1" si="3"/>
        <v>46558</v>
      </c>
      <c r="N41" s="502">
        <f t="shared" si="7"/>
        <v>59518.75</v>
      </c>
      <c r="O41" s="503"/>
      <c r="P41" s="153"/>
      <c r="Q41" s="154"/>
      <c r="S41" s="128">
        <f t="shared" si="6"/>
        <v>23</v>
      </c>
      <c r="T41" s="140" t="s">
        <v>274</v>
      </c>
      <c r="U41" s="46">
        <f t="shared" ca="1" si="5"/>
        <v>46558</v>
      </c>
      <c r="AV41" s="1"/>
    </row>
    <row r="42" spans="1:48">
      <c r="A42" s="18"/>
      <c r="B42" s="91" t="s">
        <v>228</v>
      </c>
      <c r="C42" s="82"/>
      <c r="D42" s="83"/>
      <c r="E42" s="129"/>
      <c r="F42" s="130"/>
      <c r="G42" s="130"/>
      <c r="H42" s="130"/>
      <c r="I42" s="130"/>
      <c r="J42" s="19"/>
      <c r="K42" s="504" t="str">
        <f t="shared" si="2"/>
        <v>24th Equity Payment</v>
      </c>
      <c r="L42" s="505"/>
      <c r="M42" s="46">
        <f t="shared" ca="1" si="3"/>
        <v>46588</v>
      </c>
      <c r="N42" s="502">
        <f t="shared" si="7"/>
        <v>59518.75</v>
      </c>
      <c r="O42" s="503"/>
      <c r="P42" s="153"/>
      <c r="Q42" s="154"/>
      <c r="S42" s="128">
        <f t="shared" si="6"/>
        <v>24</v>
      </c>
      <c r="T42" s="140" t="s">
        <v>275</v>
      </c>
      <c r="U42" s="46">
        <f t="shared" ca="1" si="5"/>
        <v>46588</v>
      </c>
      <c r="AV42" s="1"/>
    </row>
    <row r="43" spans="1:48">
      <c r="A43" s="18"/>
      <c r="B43" s="91" t="s">
        <v>229</v>
      </c>
      <c r="C43" s="82"/>
      <c r="D43" s="83"/>
      <c r="E43" s="129"/>
      <c r="F43" s="130"/>
      <c r="G43" s="130"/>
      <c r="H43" s="130"/>
      <c r="I43" s="130"/>
      <c r="J43" s="19"/>
      <c r="K43" s="492" t="s">
        <v>203</v>
      </c>
      <c r="L43" s="492"/>
      <c r="M43" s="66">
        <f ca="1">Y20</f>
        <v>46619</v>
      </c>
      <c r="N43" s="554">
        <f>F31</f>
        <v>7618399.9999999991</v>
      </c>
      <c r="O43" s="554"/>
      <c r="P43" s="494"/>
      <c r="Q43" s="495"/>
      <c r="S43" s="18"/>
      <c r="T43" s="123"/>
      <c r="U43" s="46"/>
      <c r="AV43" s="1"/>
    </row>
    <row r="44" spans="1:48">
      <c r="A44" s="18"/>
      <c r="B44" s="26"/>
      <c r="C44" s="82"/>
      <c r="D44" s="83"/>
      <c r="E44" s="129"/>
      <c r="F44" s="130"/>
      <c r="G44" s="130"/>
      <c r="H44" s="130"/>
      <c r="I44" s="130"/>
      <c r="J44" s="19"/>
      <c r="K44" s="17"/>
      <c r="L44" s="17"/>
      <c r="M44" s="68"/>
      <c r="N44" s="295"/>
      <c r="O44" s="295"/>
      <c r="P44" s="122"/>
      <c r="Q44" s="122"/>
      <c r="S44" s="126"/>
      <c r="T44" s="123"/>
      <c r="U44" s="46"/>
      <c r="AV44" s="1"/>
    </row>
    <row r="45" spans="1:48">
      <c r="A45" s="18"/>
      <c r="B45" s="19" t="s">
        <v>230</v>
      </c>
      <c r="C45" s="82"/>
      <c r="D45" s="83"/>
      <c r="E45" s="129"/>
      <c r="J45" s="19"/>
      <c r="N45" s="555"/>
      <c r="O45" s="555"/>
      <c r="S45" s="71"/>
      <c r="T45" s="123"/>
      <c r="U45" s="46"/>
      <c r="AV45" s="1"/>
    </row>
    <row r="46" spans="1:48" hidden="1">
      <c r="A46" s="18"/>
      <c r="B46" s="76" t="s">
        <v>213</v>
      </c>
      <c r="C46" s="76" t="s">
        <v>214</v>
      </c>
      <c r="D46" s="76" t="s">
        <v>215</v>
      </c>
      <c r="E46" s="76" t="s">
        <v>231</v>
      </c>
      <c r="F46" s="489" t="s">
        <v>217</v>
      </c>
      <c r="G46" s="489"/>
      <c r="H46" s="489"/>
      <c r="I46" s="489"/>
      <c r="J46" s="19"/>
      <c r="K46" s="19" t="s">
        <v>218</v>
      </c>
      <c r="L46" s="18"/>
      <c r="M46" s="18"/>
      <c r="N46" s="18"/>
      <c r="O46" s="19" t="s">
        <v>219</v>
      </c>
      <c r="P46" s="18"/>
      <c r="Q46" s="18"/>
      <c r="S46" s="90"/>
      <c r="T46" s="123"/>
      <c r="U46" s="46"/>
      <c r="AV46" s="1"/>
    </row>
    <row r="47" spans="1:48" hidden="1">
      <c r="A47" s="18"/>
      <c r="B47" s="78" t="s">
        <v>257</v>
      </c>
      <c r="C47" s="131">
        <v>0.16</v>
      </c>
      <c r="D47" s="79">
        <f>'Pricelist Standard'!AQ6</f>
        <v>2.4318057116359135E-2</v>
      </c>
      <c r="E47" s="80">
        <f>F31*D47</f>
        <v>185264.68633527041</v>
      </c>
      <c r="F47" s="490">
        <f>E47/0.33</f>
        <v>561408.14040991035</v>
      </c>
      <c r="G47" s="490"/>
      <c r="H47" s="490"/>
      <c r="I47" s="490"/>
      <c r="J47" s="19"/>
      <c r="K47" s="86"/>
      <c r="L47" s="18"/>
      <c r="M47" s="26"/>
      <c r="N47" s="18"/>
      <c r="O47" s="18"/>
      <c r="P47" s="18"/>
      <c r="Q47" s="18"/>
      <c r="S47" s="18"/>
      <c r="T47" s="123"/>
      <c r="U47" s="46"/>
      <c r="AV47" s="1"/>
    </row>
    <row r="48" spans="1:48">
      <c r="A48" s="18"/>
      <c r="B48" s="78" t="s">
        <v>233</v>
      </c>
      <c r="C48" s="131">
        <v>0.18</v>
      </c>
      <c r="D48" s="79">
        <f>'Pricelist Standard'!AU6</f>
        <v>1.801851990409967E-2</v>
      </c>
      <c r="E48" s="80">
        <f>F31*D48</f>
        <v>137272.29203739291</v>
      </c>
      <c r="F48" s="490">
        <f>E48/0.33</f>
        <v>415976.64253755426</v>
      </c>
      <c r="G48" s="490"/>
      <c r="H48" s="490"/>
      <c r="I48" s="490"/>
      <c r="J48" s="19"/>
      <c r="K48" s="18"/>
      <c r="L48" s="18"/>
      <c r="M48" s="26"/>
      <c r="N48" s="18"/>
      <c r="O48" s="18"/>
      <c r="P48" s="18"/>
      <c r="Q48" s="18"/>
      <c r="S48" s="18"/>
      <c r="T48" s="421" t="s">
        <v>276</v>
      </c>
      <c r="U48" s="46"/>
      <c r="AV48" s="1"/>
    </row>
    <row r="49" spans="1:48">
      <c r="A49" s="18"/>
      <c r="B49" s="91" t="s">
        <v>228</v>
      </c>
      <c r="C49" s="82"/>
      <c r="D49" s="83"/>
      <c r="E49" s="129"/>
      <c r="F49" s="130"/>
      <c r="G49" s="130"/>
      <c r="H49" s="130"/>
      <c r="I49" s="130"/>
      <c r="J49" s="19"/>
      <c r="K49" s="491" t="str">
        <f>FORM!E20</f>
        <v>SELLER The Aguirre Townhouse Las Piñas</v>
      </c>
      <c r="L49" s="491"/>
      <c r="M49" s="491"/>
      <c r="N49" s="19"/>
      <c r="O49" s="491" t="str">
        <f>FORM!E16</f>
        <v>BUYER The Aguirre Townhouse Las Piñas</v>
      </c>
      <c r="P49" s="491"/>
      <c r="Q49" s="491"/>
      <c r="S49" s="18"/>
      <c r="T49" s="419">
        <f>SUM(N17:O43)</f>
        <v>9523000</v>
      </c>
      <c r="U49" s="46"/>
      <c r="AV49" s="1"/>
    </row>
    <row r="50" spans="1:48">
      <c r="A50" s="18"/>
      <c r="C50" s="82"/>
      <c r="D50" s="83"/>
      <c r="E50" s="84"/>
      <c r="F50" s="486"/>
      <c r="G50" s="486"/>
      <c r="H50" s="85"/>
      <c r="I50" s="18"/>
      <c r="J50" s="19"/>
      <c r="K50" s="86" t="s">
        <v>224</v>
      </c>
      <c r="L50" s="487"/>
      <c r="M50" s="487"/>
      <c r="N50" s="18"/>
      <c r="O50" s="488" t="s">
        <v>225</v>
      </c>
      <c r="P50" s="488"/>
      <c r="Q50" s="488"/>
      <c r="S50" s="18"/>
      <c r="T50" s="420">
        <f>F22-T49</f>
        <v>0</v>
      </c>
      <c r="U50" s="46"/>
      <c r="AV50" s="1"/>
    </row>
    <row r="51" spans="1:48">
      <c r="A51" s="18"/>
      <c r="C51" s="88"/>
      <c r="D51" s="26"/>
      <c r="E51" s="18"/>
      <c r="F51" s="18"/>
      <c r="G51" s="18"/>
      <c r="H51" s="18"/>
      <c r="I51" s="18"/>
      <c r="J51" s="19"/>
      <c r="K51" s="89"/>
      <c r="L51" s="89"/>
      <c r="M51" s="89"/>
      <c r="N51" s="89"/>
      <c r="O51" s="89"/>
      <c r="P51" s="90"/>
      <c r="Q51" s="90"/>
      <c r="S51" s="18"/>
      <c r="T51" s="123"/>
      <c r="U51" s="46"/>
      <c r="AL51" s="87">
        <v>3128865.99</v>
      </c>
      <c r="AV51" s="1"/>
    </row>
    <row r="52" spans="1:48">
      <c r="A52" s="18"/>
      <c r="C52" s="18"/>
      <c r="D52" s="26"/>
      <c r="E52" s="18"/>
      <c r="F52" s="18"/>
      <c r="G52" s="18"/>
      <c r="H52" s="18"/>
      <c r="I52" s="18"/>
      <c r="J52" s="19"/>
      <c r="K52" s="92"/>
      <c r="L52" s="18"/>
      <c r="M52" s="39"/>
      <c r="N52" s="18"/>
      <c r="O52" s="18"/>
      <c r="P52" s="18"/>
      <c r="Q52" s="18"/>
      <c r="S52" s="18"/>
      <c r="T52" s="123" t="s">
        <v>234</v>
      </c>
      <c r="U52" s="46"/>
      <c r="AV52" s="1"/>
    </row>
    <row r="53" spans="1:48">
      <c r="A53" s="18"/>
      <c r="C53" s="88"/>
      <c r="D53" s="26"/>
      <c r="E53" s="18"/>
      <c r="F53" s="18"/>
      <c r="G53" s="18"/>
      <c r="H53" s="18"/>
      <c r="I53" s="18"/>
      <c r="J53" s="19"/>
      <c r="K53" s="92"/>
      <c r="L53" s="18"/>
      <c r="M53" s="39"/>
      <c r="N53" s="18"/>
      <c r="O53" s="18"/>
      <c r="P53" s="18"/>
      <c r="Q53" s="18"/>
      <c r="S53" s="18"/>
      <c r="T53" s="123" t="s">
        <v>235</v>
      </c>
      <c r="U53" s="46"/>
      <c r="AV53" s="1"/>
    </row>
    <row r="54" spans="1:48">
      <c r="A54" s="18"/>
      <c r="B54" s="93"/>
      <c r="C54" s="18"/>
      <c r="D54" s="18"/>
      <c r="E54" s="18"/>
      <c r="F54" s="18"/>
      <c r="G54" s="18"/>
      <c r="H54" s="18"/>
      <c r="I54" s="18"/>
      <c r="J54" s="19"/>
      <c r="K54" s="92"/>
      <c r="L54" s="18"/>
      <c r="M54" s="39"/>
      <c r="N54" s="18"/>
      <c r="O54" s="18"/>
      <c r="P54" s="18"/>
      <c r="Q54" s="18"/>
      <c r="S54" s="18"/>
      <c r="T54" s="123" t="s">
        <v>236</v>
      </c>
      <c r="U54" s="46"/>
      <c r="AV54" s="1"/>
    </row>
    <row r="55" spans="1:48">
      <c r="A55" s="18"/>
      <c r="J55" s="19"/>
      <c r="K55" s="92"/>
      <c r="L55" s="18"/>
      <c r="M55" s="39"/>
      <c r="N55" s="18"/>
      <c r="O55" s="18"/>
      <c r="P55" s="18"/>
      <c r="Q55" s="18"/>
      <c r="S55" s="18"/>
      <c r="T55" s="123" t="s">
        <v>237</v>
      </c>
      <c r="U55" s="46"/>
      <c r="AV55" s="1"/>
    </row>
    <row r="56" spans="1:48">
      <c r="A56" s="18"/>
      <c r="J56" s="17"/>
      <c r="K56" s="92"/>
      <c r="L56" s="18"/>
      <c r="M56" s="39"/>
      <c r="N56" s="18"/>
      <c r="O56" s="18"/>
      <c r="P56" s="18"/>
      <c r="Q56" s="18"/>
      <c r="S56" s="18"/>
      <c r="T56" s="123" t="s">
        <v>238</v>
      </c>
      <c r="U56" s="46"/>
      <c r="AV56" s="1"/>
    </row>
    <row r="57" spans="1:48">
      <c r="A57" s="18"/>
      <c r="J57" s="26"/>
      <c r="K57" s="92"/>
      <c r="L57" s="18"/>
      <c r="M57" s="39"/>
      <c r="N57" s="18"/>
      <c r="O57" s="18"/>
      <c r="P57" s="18"/>
      <c r="Q57" s="18"/>
      <c r="S57" s="18"/>
      <c r="T57" s="123" t="s">
        <v>239</v>
      </c>
      <c r="U57" s="46"/>
      <c r="AH57" s="1"/>
      <c r="AU57" s="1"/>
      <c r="AV57" s="1"/>
    </row>
    <row r="58" spans="1:48">
      <c r="A58" s="18"/>
      <c r="J58" s="26"/>
      <c r="K58" s="92"/>
      <c r="L58" s="18"/>
      <c r="M58" s="39"/>
      <c r="N58" s="18"/>
      <c r="O58" s="18"/>
      <c r="P58" s="18"/>
      <c r="Q58" s="18"/>
      <c r="S58" s="18"/>
      <c r="T58" s="123"/>
      <c r="U58" s="46"/>
      <c r="AH58" s="1"/>
      <c r="AU58" s="1"/>
      <c r="AV58" s="1"/>
    </row>
    <row r="59" spans="1:48" ht="15" customHeight="1">
      <c r="A59" s="18"/>
      <c r="J59" s="26"/>
      <c r="K59" s="92"/>
      <c r="L59" s="18"/>
      <c r="M59" s="39"/>
      <c r="N59" s="18"/>
      <c r="O59" s="18"/>
      <c r="P59" s="18"/>
      <c r="Q59" s="18"/>
      <c r="S59" s="18"/>
      <c r="T59" s="123"/>
      <c r="U59" s="46"/>
      <c r="AH59" s="1"/>
      <c r="AU59" s="1"/>
      <c r="AV59" s="1"/>
    </row>
    <row r="60" spans="1:48">
      <c r="A60" s="18"/>
      <c r="J60" s="26"/>
      <c r="K60" s="92"/>
      <c r="L60" s="18"/>
      <c r="M60" s="39"/>
      <c r="N60" s="18"/>
      <c r="O60" s="18"/>
      <c r="P60" s="18"/>
      <c r="Q60" s="18"/>
      <c r="S60" s="18"/>
      <c r="T60" s="132"/>
      <c r="U60" s="46"/>
      <c r="AH60" s="1"/>
      <c r="AU60" s="1"/>
      <c r="AV60" s="1"/>
    </row>
    <row r="61" spans="1:48" ht="15" customHeight="1">
      <c r="A61" s="18"/>
      <c r="J61" s="17"/>
      <c r="K61" s="92"/>
      <c r="L61" s="18"/>
      <c r="M61" s="39"/>
      <c r="N61" s="18"/>
      <c r="O61" s="18"/>
      <c r="P61" s="18"/>
      <c r="Q61" s="18"/>
      <c r="S61" s="18"/>
      <c r="T61" s="132"/>
      <c r="U61" s="46"/>
      <c r="AH61" s="1"/>
      <c r="AU61" s="1"/>
      <c r="AV61" s="1"/>
    </row>
    <row r="62" spans="1:48">
      <c r="A62" s="18"/>
      <c r="B62" s="482"/>
      <c r="C62" s="482"/>
      <c r="D62" s="482"/>
      <c r="E62" s="482"/>
      <c r="F62" s="482"/>
      <c r="G62" s="483"/>
      <c r="H62" s="483"/>
      <c r="I62" s="483"/>
      <c r="J62" s="17"/>
      <c r="K62" s="92"/>
      <c r="L62" s="18"/>
      <c r="M62" s="39"/>
      <c r="N62" s="18"/>
      <c r="O62" s="18"/>
      <c r="P62" s="18"/>
      <c r="Q62" s="18"/>
      <c r="S62" s="18"/>
      <c r="T62" s="123"/>
      <c r="U62" s="46"/>
      <c r="AH62" s="1"/>
      <c r="AU62" s="1"/>
      <c r="AV62" s="1"/>
    </row>
    <row r="63" spans="1:48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S63" s="18"/>
      <c r="T63" s="123"/>
      <c r="U63" s="46"/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71"/>
      <c r="K64" s="92"/>
      <c r="L64" s="18"/>
      <c r="M64" s="39"/>
      <c r="N64" s="18"/>
      <c r="O64" s="18"/>
      <c r="P64" s="18"/>
      <c r="Q64" s="18"/>
      <c r="S64" s="126"/>
      <c r="T64" s="123"/>
      <c r="U64" s="46"/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71"/>
      <c r="K65" s="92"/>
      <c r="L65" s="18"/>
      <c r="M65" s="39"/>
      <c r="N65" s="18"/>
      <c r="O65" s="18"/>
      <c r="P65" s="18"/>
      <c r="Q65" s="18"/>
      <c r="S65" s="71"/>
      <c r="T65" s="123" t="s">
        <v>240</v>
      </c>
      <c r="U65" s="46"/>
      <c r="AH65" s="1"/>
      <c r="AU65" s="1"/>
      <c r="AV65" s="1"/>
    </row>
    <row r="66" spans="1:48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19"/>
      <c r="L66" s="18"/>
      <c r="M66" s="18"/>
      <c r="N66" s="18"/>
      <c r="O66" s="19"/>
      <c r="P66" s="18"/>
      <c r="Q66" s="18"/>
      <c r="S66" s="18"/>
      <c r="T66" s="123" t="s">
        <v>241</v>
      </c>
      <c r="U66" s="46"/>
      <c r="AH66" s="1"/>
      <c r="AU66" s="1"/>
      <c r="AV66" s="1"/>
    </row>
    <row r="67" spans="1:48" ht="15" customHeight="1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18"/>
      <c r="L67" s="18"/>
      <c r="M67" s="26"/>
      <c r="N67" s="18"/>
      <c r="O67" s="18"/>
      <c r="P67" s="18"/>
      <c r="Q67" s="18"/>
      <c r="S67" s="18"/>
      <c r="T67" s="123" t="s">
        <v>242</v>
      </c>
      <c r="U67" s="46"/>
      <c r="AH67" s="1"/>
      <c r="AU67" s="1"/>
      <c r="AV67" s="1"/>
    </row>
    <row r="68" spans="1:48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18"/>
      <c r="L68" s="18"/>
      <c r="M68" s="26"/>
      <c r="N68" s="18"/>
      <c r="O68" s="18"/>
      <c r="P68" s="18"/>
      <c r="Q68" s="18"/>
      <c r="S68" s="18"/>
      <c r="T68" s="123" t="s">
        <v>243</v>
      </c>
      <c r="U68" s="46"/>
      <c r="AH68" s="1"/>
      <c r="AU68" s="1"/>
      <c r="AV68" s="1"/>
    </row>
    <row r="69" spans="1:48" ht="12.75" customHeight="1">
      <c r="A69" s="18"/>
      <c r="B69" s="482"/>
      <c r="C69" s="482"/>
      <c r="D69" s="482"/>
      <c r="E69" s="482"/>
      <c r="F69" s="482"/>
      <c r="G69" s="483"/>
      <c r="H69" s="483"/>
      <c r="I69" s="483"/>
      <c r="J69" s="18"/>
      <c r="K69" s="484"/>
      <c r="L69" s="484"/>
      <c r="M69" s="484"/>
      <c r="N69" s="19"/>
      <c r="O69" s="484"/>
      <c r="P69" s="484"/>
      <c r="Q69" s="484"/>
      <c r="S69" s="18"/>
      <c r="T69" s="123" t="s">
        <v>244</v>
      </c>
      <c r="U69" s="46"/>
      <c r="AH69" s="1"/>
      <c r="AU69" s="1"/>
      <c r="AV69" s="1"/>
    </row>
    <row r="70" spans="1:48">
      <c r="A70" s="18"/>
      <c r="B70" s="93"/>
      <c r="C70" s="18"/>
      <c r="D70" s="18"/>
      <c r="E70" s="18"/>
      <c r="F70" s="18"/>
      <c r="G70" s="18"/>
      <c r="H70" s="18"/>
      <c r="I70" s="18"/>
      <c r="J70" s="18"/>
      <c r="K70" s="18"/>
      <c r="L70" s="474"/>
      <c r="M70" s="474"/>
      <c r="N70" s="18"/>
      <c r="O70" s="485"/>
      <c r="P70" s="485"/>
      <c r="Q70" s="485"/>
      <c r="S70" s="18"/>
      <c r="T70" s="123" t="s">
        <v>245</v>
      </c>
      <c r="U70" s="46"/>
      <c r="AH70" s="1"/>
      <c r="AU70" s="1"/>
      <c r="AV70" s="1"/>
    </row>
    <row r="71" spans="1:48">
      <c r="A71" s="18"/>
      <c r="C71" s="93"/>
      <c r="D71" s="479"/>
      <c r="E71" s="480"/>
      <c r="F71" s="480"/>
      <c r="G71" s="18"/>
      <c r="H71" s="18"/>
      <c r="I71" s="18"/>
      <c r="J71" s="71"/>
      <c r="K71" s="92"/>
      <c r="L71" s="18"/>
      <c r="M71" s="84"/>
      <c r="N71" s="18"/>
      <c r="O71" s="18"/>
      <c r="P71" s="18"/>
      <c r="Q71" s="18"/>
      <c r="S71" s="18"/>
      <c r="T71" s="123" t="s">
        <v>246</v>
      </c>
      <c r="U71" s="46"/>
      <c r="AH71" s="1"/>
      <c r="AU71" s="1"/>
      <c r="AV71" s="1"/>
    </row>
    <row r="72" spans="1:48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84"/>
      <c r="N72" s="18"/>
      <c r="O72" s="18"/>
      <c r="P72" s="18"/>
      <c r="Q72" s="18"/>
      <c r="S72" s="18"/>
      <c r="T72" s="123" t="s">
        <v>247</v>
      </c>
      <c r="U72" s="46"/>
      <c r="AH72" s="1"/>
      <c r="AU72" s="1"/>
      <c r="AV72" s="1"/>
    </row>
    <row r="73" spans="1:48">
      <c r="A73" s="18"/>
      <c r="B73" s="93"/>
      <c r="C73" s="18"/>
      <c r="D73" s="94"/>
      <c r="E73" s="94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S73" s="18"/>
      <c r="T73" s="123" t="s">
        <v>248</v>
      </c>
      <c r="U73" s="46"/>
      <c r="AH73" s="1"/>
      <c r="AU73" s="1"/>
      <c r="AV73" s="1"/>
    </row>
    <row r="74" spans="1:48">
      <c r="A74" s="18"/>
      <c r="B74" s="93"/>
      <c r="C74" s="18"/>
      <c r="D74" s="94"/>
      <c r="E74" s="94"/>
      <c r="F74" s="18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S74" s="18"/>
      <c r="T74" s="123" t="s">
        <v>249</v>
      </c>
      <c r="U74" s="46"/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S75" s="18"/>
      <c r="T75" s="123" t="s">
        <v>250</v>
      </c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S76" s="18"/>
      <c r="AH76" s="1"/>
      <c r="AU76" s="1"/>
      <c r="AV76" s="1"/>
    </row>
    <row r="77" spans="1:48">
      <c r="A77" s="18"/>
      <c r="J77" s="71"/>
      <c r="K77" s="92"/>
      <c r="L77" s="18"/>
      <c r="M77" s="39"/>
      <c r="N77" s="18"/>
      <c r="O77" s="18"/>
      <c r="P77" s="18"/>
      <c r="Q77" s="18"/>
      <c r="S77" s="18"/>
      <c r="AH77" s="1"/>
      <c r="AU77" s="1"/>
      <c r="AV77" s="1"/>
    </row>
    <row r="78" spans="1:48" ht="12" customHeight="1">
      <c r="A78" s="18"/>
      <c r="J78" s="71"/>
      <c r="K78" s="92"/>
      <c r="L78" s="18"/>
      <c r="M78" s="39"/>
      <c r="N78" s="18"/>
      <c r="O78" s="18"/>
      <c r="P78" s="18"/>
      <c r="Q78" s="18"/>
      <c r="S78" s="18"/>
      <c r="AH78" s="1"/>
      <c r="AU78" s="1"/>
      <c r="AV78" s="1"/>
    </row>
    <row r="79" spans="1:48" ht="12" customHeight="1">
      <c r="A79" s="18"/>
      <c r="J79" s="71"/>
      <c r="K79" s="92"/>
      <c r="L79" s="18"/>
      <c r="M79" s="39"/>
      <c r="N79" s="18"/>
      <c r="O79" s="18"/>
      <c r="P79" s="18"/>
      <c r="Q79" s="18"/>
      <c r="S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S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S81" s="18"/>
      <c r="AH81" s="1"/>
      <c r="AU81" s="1"/>
      <c r="AV81" s="1"/>
    </row>
    <row r="82" spans="1:48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S82" s="18"/>
      <c r="AH82" s="1"/>
      <c r="AU82" s="1"/>
      <c r="AV82" s="1"/>
    </row>
    <row r="83" spans="1:48" ht="12" customHeight="1">
      <c r="A83" s="18"/>
      <c r="B83" s="93"/>
      <c r="C83" s="18"/>
      <c r="D83" s="18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S83" s="18"/>
      <c r="AH83" s="1"/>
      <c r="AU83" s="1"/>
      <c r="AV83" s="1"/>
    </row>
    <row r="84" spans="1:48" ht="12" customHeight="1">
      <c r="A84" s="18"/>
      <c r="B84" s="93"/>
      <c r="C84" s="18"/>
      <c r="D84" s="18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S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S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S86" s="18"/>
      <c r="AH86" s="1"/>
      <c r="AU86" s="1"/>
      <c r="AV86" s="1"/>
    </row>
    <row r="87" spans="1:48" ht="12" customHeight="1">
      <c r="A87" s="18"/>
      <c r="B87" s="93"/>
      <c r="C87" s="18"/>
      <c r="D87" s="26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S87" s="18"/>
      <c r="AH87" s="1"/>
      <c r="AU87" s="1"/>
      <c r="AV87" s="1"/>
    </row>
    <row r="88" spans="1:48" ht="12" customHeight="1">
      <c r="A88" s="18"/>
      <c r="B88" s="93"/>
      <c r="C88" s="18"/>
      <c r="D88" s="26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S88" s="18"/>
      <c r="AH88" s="1"/>
      <c r="AU88" s="1"/>
      <c r="AV88" s="1"/>
    </row>
    <row r="89" spans="1:48" ht="12" customHeight="1">
      <c r="A89" s="18"/>
      <c r="B89" s="93"/>
      <c r="C89" s="18"/>
      <c r="D89" s="26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S89" s="18"/>
      <c r="AH89" s="1"/>
      <c r="AU89" s="1"/>
      <c r="AV89" s="1"/>
    </row>
    <row r="90" spans="1:48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S90" s="18"/>
      <c r="AH90" s="1"/>
      <c r="AU90" s="1"/>
      <c r="AV90" s="1"/>
    </row>
    <row r="91" spans="1:48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S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S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S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S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S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S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S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S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S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S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S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S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S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S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S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S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S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S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S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S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S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S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S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S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S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S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S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S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S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S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S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S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S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S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S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S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S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S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S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S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S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S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S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S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S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S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S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S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S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S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S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S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S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S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S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S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S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S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S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S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S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S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S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S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S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S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S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S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S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S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S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S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S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S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S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S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S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S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S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S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S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S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S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S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S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S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S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S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S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S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S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S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S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S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S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S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S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S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S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S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S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S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S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S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S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S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S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S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S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S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S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S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S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S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S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S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S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S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S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S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S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S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S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S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S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S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S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S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S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S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S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S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S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S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S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S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S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S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S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S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92"/>
      <c r="L231" s="18"/>
      <c r="M231" s="39"/>
      <c r="N231" s="18"/>
      <c r="O231" s="18"/>
      <c r="P231" s="18"/>
      <c r="Q231" s="18"/>
      <c r="S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92"/>
      <c r="L232" s="18"/>
      <c r="M232" s="39"/>
      <c r="N232" s="18"/>
      <c r="O232" s="18"/>
      <c r="P232" s="18"/>
      <c r="Q232" s="18"/>
      <c r="S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92"/>
      <c r="L233" s="18"/>
      <c r="M233" s="39"/>
      <c r="N233" s="18"/>
      <c r="O233" s="18"/>
      <c r="P233" s="18"/>
      <c r="Q233" s="18"/>
      <c r="S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92"/>
      <c r="L234" s="18"/>
      <c r="M234" s="39"/>
      <c r="N234" s="18"/>
      <c r="O234" s="18"/>
      <c r="P234" s="18"/>
      <c r="Q234" s="18"/>
      <c r="S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92"/>
      <c r="L235" s="18"/>
      <c r="M235" s="39"/>
      <c r="N235" s="18"/>
      <c r="O235" s="18"/>
      <c r="P235" s="18"/>
      <c r="Q235" s="18"/>
      <c r="S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92"/>
      <c r="L236" s="18"/>
      <c r="M236" s="39"/>
      <c r="N236" s="18"/>
      <c r="O236" s="18"/>
      <c r="P236" s="18"/>
      <c r="Q236" s="18"/>
      <c r="S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92"/>
      <c r="L237" s="18"/>
      <c r="M237" s="39"/>
      <c r="N237" s="18"/>
      <c r="O237" s="18"/>
      <c r="P237" s="18"/>
      <c r="Q237" s="18"/>
      <c r="S237" s="18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92"/>
      <c r="L238" s="18"/>
      <c r="M238" s="39"/>
      <c r="N238" s="18"/>
      <c r="O238" s="18"/>
      <c r="P238" s="18"/>
      <c r="Q238" s="18"/>
      <c r="S238" s="221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8"/>
      <c r="L239" s="18"/>
      <c r="M239" s="39"/>
      <c r="N239" s="18"/>
      <c r="O239" s="18"/>
      <c r="P239" s="18"/>
      <c r="Q239" s="18"/>
      <c r="S239" s="18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18"/>
      <c r="L240" s="18"/>
      <c r="M240" s="26"/>
      <c r="N240" s="18"/>
      <c r="O240" s="18"/>
      <c r="P240" s="18"/>
      <c r="Q240" s="18"/>
      <c r="S240" s="18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18"/>
      <c r="L241" s="18"/>
      <c r="M241" s="26"/>
      <c r="N241" s="18"/>
      <c r="O241" s="18"/>
      <c r="P241" s="18"/>
      <c r="Q241" s="18"/>
      <c r="S241" s="18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18"/>
      <c r="L242" s="18"/>
      <c r="M242" s="26"/>
      <c r="N242" s="18"/>
      <c r="O242" s="18"/>
      <c r="P242" s="18"/>
      <c r="Q242" s="18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481"/>
      <c r="L243" s="481"/>
      <c r="M243" s="481"/>
      <c r="N243" s="18"/>
      <c r="O243" s="18"/>
      <c r="P243" s="481"/>
      <c r="Q243" s="481"/>
      <c r="AH243" s="1"/>
      <c r="AU243" s="1"/>
      <c r="AV243" s="1"/>
    </row>
    <row r="244" spans="1:48" ht="12" customHeight="1">
      <c r="A244" s="18"/>
      <c r="B244" s="18"/>
      <c r="C244" s="18"/>
      <c r="D244" s="26"/>
      <c r="E244" s="18"/>
      <c r="F244" s="18"/>
      <c r="G244" s="18"/>
      <c r="H244" s="18"/>
      <c r="I244" s="18"/>
      <c r="J244" s="71"/>
      <c r="K244" s="18"/>
      <c r="L244" s="474"/>
      <c r="M244" s="474"/>
      <c r="N244" s="18"/>
      <c r="O244" s="18"/>
      <c r="P244" s="18"/>
      <c r="Q244" s="18"/>
      <c r="AH244" s="1"/>
      <c r="AU244" s="1"/>
      <c r="AV244" s="1"/>
    </row>
    <row r="245" spans="1:48" ht="12" customHeight="1">
      <c r="A245" s="18"/>
      <c r="B245" s="18"/>
      <c r="C245" s="18"/>
      <c r="D245" s="26"/>
      <c r="E245" s="18"/>
      <c r="F245" s="18"/>
      <c r="G245" s="18"/>
      <c r="H245" s="18"/>
      <c r="I245" s="18"/>
      <c r="J245" s="71"/>
      <c r="K245" s="17"/>
      <c r="L245" s="18"/>
      <c r="M245" s="18"/>
      <c r="N245" s="18"/>
      <c r="O245" s="18"/>
      <c r="P245" s="18"/>
      <c r="Q245" s="18"/>
      <c r="AH245" s="1"/>
      <c r="AU245" s="1"/>
      <c r="AV245" s="1"/>
    </row>
    <row r="246" spans="1:48" ht="12" customHeight="1">
      <c r="A246" s="18"/>
      <c r="B246" s="18"/>
      <c r="C246" s="18"/>
      <c r="D246" s="26"/>
      <c r="E246" s="18"/>
      <c r="F246" s="18"/>
      <c r="G246" s="18"/>
      <c r="H246" s="18"/>
      <c r="I246" s="18"/>
      <c r="J246" s="71"/>
      <c r="K246" s="19"/>
      <c r="L246" s="18"/>
      <c r="M246" s="18"/>
      <c r="N246" s="18"/>
      <c r="O246" s="18"/>
      <c r="P246" s="18"/>
      <c r="Q246" s="18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17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18"/>
      <c r="E248" s="18"/>
      <c r="F248" s="26"/>
      <c r="G248" s="26"/>
      <c r="H248" s="26"/>
      <c r="I248" s="26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71"/>
      <c r="K249" s="4"/>
      <c r="L249" s="1"/>
      <c r="AH249" s="1"/>
      <c r="AU249" s="1"/>
      <c r="AV249" s="1"/>
    </row>
    <row r="250" spans="1:48" ht="12" customHeight="1">
      <c r="A250" s="18"/>
      <c r="B250" s="18"/>
      <c r="C250" s="18"/>
      <c r="D250" s="97"/>
      <c r="E250" s="98"/>
      <c r="F250" s="98"/>
      <c r="G250" s="98"/>
      <c r="H250" s="98"/>
      <c r="I250" s="17"/>
      <c r="J250" s="71"/>
      <c r="K250" s="4"/>
      <c r="L250" s="1"/>
      <c r="AH250" s="1"/>
      <c r="AU250" s="1"/>
      <c r="AV250" s="1"/>
    </row>
    <row r="251" spans="1:48" ht="12" customHeight="1">
      <c r="A251" s="18"/>
      <c r="B251" s="18"/>
      <c r="C251" s="18"/>
      <c r="D251" s="97"/>
      <c r="E251" s="98"/>
      <c r="F251" s="98"/>
      <c r="G251" s="98"/>
      <c r="H251" s="98"/>
      <c r="I251" s="19"/>
      <c r="J251" s="18"/>
      <c r="K251" s="4"/>
      <c r="L251" s="1"/>
      <c r="AH251" s="1"/>
      <c r="AU251" s="1"/>
      <c r="AV251" s="1"/>
    </row>
    <row r="252" spans="1:48" ht="12" customHeight="1">
      <c r="B252" s="95"/>
      <c r="D252" s="99"/>
      <c r="E252" s="100"/>
      <c r="F252" s="100"/>
      <c r="G252" s="100"/>
      <c r="H252" s="100"/>
      <c r="I252" s="17"/>
      <c r="J252" s="18"/>
      <c r="K252" s="4"/>
      <c r="L252" s="1"/>
      <c r="AH252" s="1"/>
      <c r="AU252" s="1"/>
      <c r="AV252" s="1"/>
    </row>
    <row r="253" spans="1:48" ht="17.25" customHeight="1">
      <c r="A253" s="95" t="e">
        <f>(F15-#REF!)*12%</f>
        <v>#REF!</v>
      </c>
      <c r="D253" s="99"/>
      <c r="F253" s="100"/>
      <c r="G253" s="100"/>
      <c r="H253" s="100"/>
      <c r="J253" s="18"/>
      <c r="K253" s="4"/>
      <c r="L253" s="1"/>
      <c r="AH253" s="1"/>
      <c r="AU253" s="1"/>
      <c r="AV253" s="1"/>
    </row>
    <row r="254" spans="1:48" ht="15.75" customHeight="1">
      <c r="A254" s="96"/>
      <c r="D254" s="99"/>
      <c r="E254" s="100"/>
      <c r="F254" s="100"/>
      <c r="G254" s="100"/>
      <c r="H254" s="100"/>
      <c r="J254" s="18"/>
      <c r="K254" s="4"/>
      <c r="L254" s="1"/>
      <c r="AH254" s="1"/>
      <c r="AU254" s="1"/>
      <c r="AV254" s="1"/>
    </row>
    <row r="255" spans="1:48" ht="12.75" customHeight="1">
      <c r="D255" s="99"/>
      <c r="E255" s="100"/>
      <c r="F255" s="100"/>
      <c r="G255" s="100"/>
      <c r="H255" s="100"/>
      <c r="J255" s="18"/>
      <c r="K255" s="4"/>
      <c r="L255" s="1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K256" s="4"/>
      <c r="L256" s="1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J257" s="18"/>
      <c r="K257" s="4"/>
      <c r="L257" s="1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J258" s="18"/>
      <c r="K258" s="4"/>
      <c r="L258" s="1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K259" s="4"/>
      <c r="L259" s="1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K260" s="4"/>
      <c r="L260" s="1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4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J263" s="19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J264" s="17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F792" s="100"/>
      <c r="G792" s="100"/>
      <c r="H792" s="100"/>
    </row>
    <row r="793" spans="4:8" ht="12.75" customHeight="1">
      <c r="D793" s="99"/>
      <c r="F793" s="100"/>
      <c r="G793" s="100"/>
      <c r="H793" s="100"/>
    </row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FjK0MK5tmC9vbnAL1lUc01kOvRPK1w+kBEyOlm7yVNdirCi6UADHGnP1IFKzVKhs4wqWTSipvfi62Ve/MoiSFw==" saltValue="5AIcKNabNKch/So6L0mznw==" spinCount="100000" sheet="1" selectLockedCells="1" selectUnlockedCells="1"/>
  <mergeCells count="150">
    <mergeCell ref="B29:C29"/>
    <mergeCell ref="P2:Q2"/>
    <mergeCell ref="N28:O28"/>
    <mergeCell ref="N29:O29"/>
    <mergeCell ref="N30:O30"/>
    <mergeCell ref="N31:O31"/>
    <mergeCell ref="N32:O32"/>
    <mergeCell ref="N33:O33"/>
    <mergeCell ref="K10:L10"/>
    <mergeCell ref="N10:Q10"/>
    <mergeCell ref="K7:L7"/>
    <mergeCell ref="N7:Q7"/>
    <mergeCell ref="K8:L8"/>
    <mergeCell ref="N8:Q8"/>
    <mergeCell ref="K11:L11"/>
    <mergeCell ref="N11:O11"/>
    <mergeCell ref="P11:Q11"/>
    <mergeCell ref="K12:L12"/>
    <mergeCell ref="N12:O12"/>
    <mergeCell ref="P12:Q12"/>
    <mergeCell ref="P13:Q13"/>
    <mergeCell ref="P23:Q23"/>
    <mergeCell ref="K22:L22"/>
    <mergeCell ref="N22:O22"/>
    <mergeCell ref="P22:Q22"/>
    <mergeCell ref="F15:I15"/>
    <mergeCell ref="K15:L16"/>
    <mergeCell ref="M15:M16"/>
    <mergeCell ref="N15:O16"/>
    <mergeCell ref="P15:Q16"/>
    <mergeCell ref="B4:I4"/>
    <mergeCell ref="K4:Q4"/>
    <mergeCell ref="E6:I6"/>
    <mergeCell ref="K6:L6"/>
    <mergeCell ref="N6:Q6"/>
    <mergeCell ref="E9:I9"/>
    <mergeCell ref="K9:L9"/>
    <mergeCell ref="N9:Q9"/>
    <mergeCell ref="E7:I7"/>
    <mergeCell ref="E8:I8"/>
    <mergeCell ref="E12:F12"/>
    <mergeCell ref="H12:I12"/>
    <mergeCell ref="E10:I10"/>
    <mergeCell ref="F16:I16"/>
    <mergeCell ref="E11:F11"/>
    <mergeCell ref="H11:I11"/>
    <mergeCell ref="E13:F13"/>
    <mergeCell ref="H13:I13"/>
    <mergeCell ref="K13:L13"/>
    <mergeCell ref="W19:X19"/>
    <mergeCell ref="W20:X20"/>
    <mergeCell ref="W21:X21"/>
    <mergeCell ref="F17:I17"/>
    <mergeCell ref="K17:L17"/>
    <mergeCell ref="N17:O17"/>
    <mergeCell ref="P17:Q17"/>
    <mergeCell ref="K19:L19"/>
    <mergeCell ref="N19:O19"/>
    <mergeCell ref="P19:Q19"/>
    <mergeCell ref="K21:L21"/>
    <mergeCell ref="N21:O21"/>
    <mergeCell ref="P21:Q21"/>
    <mergeCell ref="K20:L20"/>
    <mergeCell ref="N20:O20"/>
    <mergeCell ref="P20:Q20"/>
    <mergeCell ref="F20:I20"/>
    <mergeCell ref="K18:L18"/>
    <mergeCell ref="N18:O18"/>
    <mergeCell ref="P18:Q18"/>
    <mergeCell ref="N13:O13"/>
    <mergeCell ref="P24:Q24"/>
    <mergeCell ref="K40:L40"/>
    <mergeCell ref="N40:O40"/>
    <mergeCell ref="F28:I28"/>
    <mergeCell ref="K28:L28"/>
    <mergeCell ref="K29:L29"/>
    <mergeCell ref="B68:C69"/>
    <mergeCell ref="D68:F69"/>
    <mergeCell ref="G68:I69"/>
    <mergeCell ref="B62:C63"/>
    <mergeCell ref="B64:C65"/>
    <mergeCell ref="B66:C67"/>
    <mergeCell ref="F39:I39"/>
    <mergeCell ref="P40:Q40"/>
    <mergeCell ref="B25:C25"/>
    <mergeCell ref="H25:I25"/>
    <mergeCell ref="K27:L27"/>
    <mergeCell ref="N27:O27"/>
    <mergeCell ref="K25:L25"/>
    <mergeCell ref="N25:O25"/>
    <mergeCell ref="F24:I24"/>
    <mergeCell ref="K26:L26"/>
    <mergeCell ref="N26:O26"/>
    <mergeCell ref="K49:M49"/>
    <mergeCell ref="F22:I22"/>
    <mergeCell ref="K23:L23"/>
    <mergeCell ref="K30:L30"/>
    <mergeCell ref="K31:L31"/>
    <mergeCell ref="K32:L32"/>
    <mergeCell ref="K33:L33"/>
    <mergeCell ref="F29:I29"/>
    <mergeCell ref="K41:L41"/>
    <mergeCell ref="N41:O41"/>
    <mergeCell ref="N37:O37"/>
    <mergeCell ref="N38:O38"/>
    <mergeCell ref="N39:O39"/>
    <mergeCell ref="N23:O23"/>
    <mergeCell ref="K24:L24"/>
    <mergeCell ref="N24:O24"/>
    <mergeCell ref="F38:I38"/>
    <mergeCell ref="F31:I31"/>
    <mergeCell ref="F47:I47"/>
    <mergeCell ref="K42:L42"/>
    <mergeCell ref="N42:O42"/>
    <mergeCell ref="P43:Q43"/>
    <mergeCell ref="F37:I37"/>
    <mergeCell ref="F46:I46"/>
    <mergeCell ref="F35:I35"/>
    <mergeCell ref="N45:O45"/>
    <mergeCell ref="K34:L34"/>
    <mergeCell ref="K35:L35"/>
    <mergeCell ref="K36:L36"/>
    <mergeCell ref="K37:L37"/>
    <mergeCell ref="K38:L38"/>
    <mergeCell ref="K39:L39"/>
    <mergeCell ref="N34:O34"/>
    <mergeCell ref="N35:O35"/>
    <mergeCell ref="N36:O36"/>
    <mergeCell ref="K43:L43"/>
    <mergeCell ref="N43:O43"/>
    <mergeCell ref="F36:I36"/>
    <mergeCell ref="K243:M243"/>
    <mergeCell ref="P243:Q243"/>
    <mergeCell ref="L244:M244"/>
    <mergeCell ref="L50:M50"/>
    <mergeCell ref="O50:Q50"/>
    <mergeCell ref="F48:I48"/>
    <mergeCell ref="F50:G50"/>
    <mergeCell ref="K69:M69"/>
    <mergeCell ref="O69:Q69"/>
    <mergeCell ref="L70:M70"/>
    <mergeCell ref="D62:F63"/>
    <mergeCell ref="G62:I63"/>
    <mergeCell ref="D64:F65"/>
    <mergeCell ref="G64:I65"/>
    <mergeCell ref="D66:F67"/>
    <mergeCell ref="G66:I67"/>
    <mergeCell ref="D71:F71"/>
    <mergeCell ref="O49:Q49"/>
    <mergeCell ref="O70:Q70"/>
  </mergeCells>
  <phoneticPr fontId="13" type="noConversion"/>
  <printOptions horizontalCentered="1" verticalCentered="1"/>
  <pageMargins left="0.23622047244094491" right="0.23622047244094491" top="0.39370078740157483" bottom="0.74803149606299213" header="0.31496062992125984" footer="0.31496062992125984"/>
  <pageSetup paperSize="5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7FCD6-1B9E-4CBF-BE29-422491D3B8FD}">
  <sheetPr codeName="Sheet11"/>
  <dimension ref="A1:AY869"/>
  <sheetViews>
    <sheetView topLeftCell="A26" zoomScale="90" zoomScaleNormal="90" workbookViewId="0">
      <selection activeCell="L45" sqref="L45"/>
    </sheetView>
  </sheetViews>
  <sheetFormatPr defaultColWidth="8.85546875" defaultRowHeight="13.5"/>
  <cols>
    <col min="1" max="1" width="1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23.425781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4.7109375" style="1" customWidth="1"/>
    <col min="19" max="19" width="8.85546875" style="1"/>
    <col min="20" max="20" width="24.5703125" style="9" hidden="1" customWidth="1"/>
    <col min="21" max="22" width="11.42578125" style="1" hidden="1" customWidth="1"/>
    <col min="23" max="24" width="8.85546875" style="1" hidden="1" customWidth="1"/>
    <col min="25" max="25" width="11.28515625" style="1" hidden="1" customWidth="1"/>
    <col min="26" max="26" width="8.85546875" style="1" hidden="1" customWidth="1"/>
    <col min="27" max="27" width="13.140625" style="1" hidden="1" customWidth="1"/>
    <col min="28" max="28" width="14.5703125" style="9" hidden="1" customWidth="1"/>
    <col min="29" max="29" width="0" style="1" hidden="1" customWidth="1"/>
    <col min="30" max="30" width="9.140625" style="1" hidden="1" customWidth="1"/>
    <col min="31" max="31" width="17.140625" style="1" hidden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7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7">
      <c r="B2" s="13" t="s">
        <v>157</v>
      </c>
      <c r="C2" s="14">
        <f ca="1">NOW()</f>
        <v>45849.956438310182</v>
      </c>
      <c r="D2" s="15"/>
      <c r="F2" s="16" t="s">
        <v>158</v>
      </c>
      <c r="G2" s="544" t="s">
        <v>159</v>
      </c>
      <c r="H2" s="544"/>
      <c r="I2" s="544"/>
      <c r="J2" s="17"/>
      <c r="K2" s="16" t="s">
        <v>157</v>
      </c>
      <c r="L2" s="14">
        <f ca="1">C2</f>
        <v>45849.956438310182</v>
      </c>
      <c r="M2" s="18"/>
      <c r="O2" s="19"/>
      <c r="P2" s="20"/>
      <c r="Q2" s="21"/>
    </row>
    <row r="3" spans="1:17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7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</row>
    <row r="5" spans="1:17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</row>
    <row r="6" spans="1:17">
      <c r="A6" s="18"/>
      <c r="B6" s="24" t="s">
        <v>162</v>
      </c>
      <c r="C6" s="25"/>
      <c r="D6" s="26" t="s">
        <v>73</v>
      </c>
      <c r="E6" s="501"/>
      <c r="F6" s="501"/>
      <c r="G6" s="501"/>
      <c r="H6" s="501"/>
      <c r="I6" s="501"/>
      <c r="J6" s="17"/>
      <c r="K6" s="535" t="s">
        <v>162</v>
      </c>
      <c r="L6" s="535"/>
      <c r="M6" s="26" t="s">
        <v>73</v>
      </c>
      <c r="N6" s="536">
        <f t="shared" ref="N6:N13" si="0">E6</f>
        <v>0</v>
      </c>
      <c r="O6" s="536"/>
      <c r="P6" s="536"/>
      <c r="Q6" s="536"/>
    </row>
    <row r="7" spans="1:17" ht="14.25" thickBot="1">
      <c r="A7" s="18"/>
      <c r="B7" s="27" t="s">
        <v>163</v>
      </c>
      <c r="C7" s="28"/>
      <c r="D7" s="26" t="s">
        <v>73</v>
      </c>
      <c r="E7" s="537" t="s">
        <v>164</v>
      </c>
      <c r="F7" s="474"/>
      <c r="G7" s="474"/>
      <c r="H7" s="474"/>
      <c r="I7" s="538"/>
      <c r="J7" s="17"/>
      <c r="K7" s="535" t="s">
        <v>163</v>
      </c>
      <c r="L7" s="535"/>
      <c r="M7" s="29" t="s">
        <v>73</v>
      </c>
      <c r="N7" s="536" t="str">
        <f t="shared" si="0"/>
        <v>The Elements Las Piñas</v>
      </c>
      <c r="O7" s="536"/>
      <c r="P7" s="536"/>
      <c r="Q7" s="536"/>
    </row>
    <row r="8" spans="1:17">
      <c r="A8" s="30"/>
      <c r="B8" s="24" t="s">
        <v>165</v>
      </c>
      <c r="C8" s="25"/>
      <c r="D8" s="26" t="s">
        <v>73</v>
      </c>
      <c r="E8" s="539" t="s">
        <v>277</v>
      </c>
      <c r="F8" s="540"/>
      <c r="G8" s="540"/>
      <c r="H8" s="540"/>
      <c r="I8" s="541"/>
      <c r="J8" s="17"/>
      <c r="K8" s="535" t="s">
        <v>165</v>
      </c>
      <c r="L8" s="535"/>
      <c r="M8" s="26" t="s">
        <v>73</v>
      </c>
      <c r="N8" s="536" t="str">
        <f>E8</f>
        <v>Pine Road Unit A</v>
      </c>
      <c r="O8" s="536"/>
      <c r="P8" s="536"/>
      <c r="Q8" s="536"/>
    </row>
    <row r="9" spans="1:17" hidden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">
        <v>167</v>
      </c>
      <c r="L9" s="535"/>
      <c r="M9" s="26" t="s">
        <v>73</v>
      </c>
      <c r="N9" s="536" t="str">
        <f t="shared" si="0"/>
        <v>N/A</v>
      </c>
      <c r="O9" s="536"/>
      <c r="P9" s="536"/>
      <c r="Q9" s="536"/>
    </row>
    <row r="10" spans="1:17" ht="14.25" thickBot="1">
      <c r="A10" s="18"/>
      <c r="B10" s="27" t="s">
        <v>169</v>
      </c>
      <c r="C10" s="28"/>
      <c r="D10" s="26" t="s">
        <v>73</v>
      </c>
      <c r="E10" s="542" t="e">
        <f>'Pricelist Standard'!#REF!</f>
        <v>#REF!</v>
      </c>
      <c r="F10" s="543"/>
      <c r="G10" s="543" t="e">
        <f>'Pricelist Standard'!#REF!</f>
        <v>#REF!</v>
      </c>
      <c r="H10" s="533"/>
      <c r="I10" s="534"/>
      <c r="J10" s="17"/>
      <c r="K10" s="535" t="s">
        <v>169</v>
      </c>
      <c r="L10" s="535"/>
      <c r="M10" s="29" t="s">
        <v>73</v>
      </c>
      <c r="N10" s="536" t="e">
        <f t="shared" si="0"/>
        <v>#REF!</v>
      </c>
      <c r="O10" s="536"/>
      <c r="P10" s="536"/>
      <c r="Q10" s="536"/>
    </row>
    <row r="11" spans="1:17">
      <c r="A11" s="18"/>
      <c r="B11" s="27" t="str">
        <f>[1]Pricelist_SSO!H25</f>
        <v>Floor Area</v>
      </c>
      <c r="C11" s="28"/>
      <c r="D11" s="26" t="s">
        <v>73</v>
      </c>
      <c r="E11" s="519" t="e">
        <f>'Pricelist Standard'!#REF!</f>
        <v>#REF!</v>
      </c>
      <c r="F11" s="520"/>
      <c r="G11" s="31" t="s">
        <v>170</v>
      </c>
      <c r="H11" s="533"/>
      <c r="I11" s="534"/>
      <c r="J11" s="17"/>
      <c r="K11" s="535" t="s">
        <v>171</v>
      </c>
      <c r="L11" s="535"/>
      <c r="M11" s="26" t="s">
        <v>73</v>
      </c>
      <c r="N11" s="519" t="e">
        <f t="shared" si="0"/>
        <v>#REF!</v>
      </c>
      <c r="O11" s="520"/>
      <c r="P11" s="521" t="s">
        <v>170</v>
      </c>
      <c r="Q11" s="522"/>
    </row>
    <row r="12" spans="1:17">
      <c r="A12" s="30"/>
      <c r="B12" s="25" t="str">
        <f>[1]Pricelist_SSO!I25</f>
        <v>Actual Lot Area</v>
      </c>
      <c r="C12" s="25"/>
      <c r="D12" s="26" t="s">
        <v>73</v>
      </c>
      <c r="E12" s="519" t="e">
        <f>'Pricelist Standard'!#REF!</f>
        <v>#REF!</v>
      </c>
      <c r="F12" s="520"/>
      <c r="G12" s="31" t="s">
        <v>170</v>
      </c>
      <c r="H12" s="521"/>
      <c r="I12" s="522"/>
      <c r="J12" s="17"/>
      <c r="K12" s="535" t="s">
        <v>172</v>
      </c>
      <c r="L12" s="535"/>
      <c r="M12" s="26" t="s">
        <v>73</v>
      </c>
      <c r="N12" s="524" t="e">
        <f t="shared" si="0"/>
        <v>#REF!</v>
      </c>
      <c r="O12" s="525"/>
      <c r="P12" s="521" t="s">
        <v>170</v>
      </c>
      <c r="Q12" s="522"/>
    </row>
    <row r="13" spans="1:17" hidden="1">
      <c r="A13" s="32"/>
      <c r="B13" s="33" t="s">
        <v>173</v>
      </c>
      <c r="C13" s="34"/>
      <c r="D13" s="26" t="s">
        <v>73</v>
      </c>
      <c r="E13" s="519"/>
      <c r="F13" s="520"/>
      <c r="G13" s="31" t="s">
        <v>170</v>
      </c>
      <c r="H13" s="521"/>
      <c r="I13" s="522"/>
      <c r="J13" s="17"/>
      <c r="K13" s="523" t="s">
        <v>173</v>
      </c>
      <c r="L13" s="523"/>
      <c r="M13" s="26" t="s">
        <v>73</v>
      </c>
      <c r="N13" s="524">
        <f t="shared" si="0"/>
        <v>0</v>
      </c>
      <c r="O13" s="525"/>
      <c r="P13" s="521" t="s">
        <v>170</v>
      </c>
      <c r="Q13" s="522"/>
    </row>
    <row r="14" spans="1:17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</row>
    <row r="15" spans="1:17" ht="15" customHeight="1">
      <c r="A15" s="18"/>
      <c r="B15" s="24" t="s">
        <v>174</v>
      </c>
      <c r="C15" s="24"/>
      <c r="D15" s="40" t="s">
        <v>73</v>
      </c>
      <c r="E15" s="41"/>
      <c r="F15" s="526" t="e">
        <f>'Pricelist Standard'!#REF!</f>
        <v>#REF!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</row>
    <row r="16" spans="1:17">
      <c r="A16" s="18"/>
      <c r="B16" s="28" t="s">
        <v>179</v>
      </c>
      <c r="C16" s="28"/>
      <c r="D16" s="42" t="s">
        <v>73</v>
      </c>
      <c r="E16" s="43"/>
      <c r="F16" s="551" t="e">
        <f>'Pricelist Standard'!#REF!</f>
        <v>#REF!</v>
      </c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</row>
    <row r="17" spans="1:48">
      <c r="A17" s="18"/>
      <c r="B17" s="28" t="s">
        <v>107</v>
      </c>
      <c r="C17" s="28"/>
      <c r="D17" s="17" t="s">
        <v>73</v>
      </c>
      <c r="E17" s="41"/>
      <c r="F17" s="526" t="e">
        <f>F15-F16</f>
        <v>#REF!</v>
      </c>
      <c r="G17" s="526"/>
      <c r="H17" s="526"/>
      <c r="I17" s="527"/>
      <c r="J17" s="19"/>
      <c r="K17" s="501" t="s">
        <v>18</v>
      </c>
      <c r="L17" s="501"/>
      <c r="M17" s="46">
        <f ca="1">C2</f>
        <v>45849.956438310182</v>
      </c>
      <c r="N17" s="490">
        <f>F27</f>
        <v>50000</v>
      </c>
      <c r="O17" s="490"/>
      <c r="P17" s="504"/>
      <c r="Q17" s="505"/>
      <c r="U17" s="133">
        <f ca="1">M17</f>
        <v>45849.956438310182</v>
      </c>
      <c r="V17" s="133" t="e">
        <f ca="1">EDATE(U17,#REF!)</f>
        <v>#REF!</v>
      </c>
    </row>
    <row r="18" spans="1:48" ht="13.9" customHeight="1">
      <c r="A18" s="18"/>
      <c r="B18" s="142" t="s">
        <v>180</v>
      </c>
      <c r="C18" s="45"/>
      <c r="D18" s="17"/>
      <c r="E18" s="145"/>
      <c r="F18" s="150" t="e">
        <f>F17/E11</f>
        <v>#REF!</v>
      </c>
      <c r="G18" s="146"/>
      <c r="H18" s="146"/>
      <c r="I18" s="147"/>
      <c r="J18" s="19"/>
      <c r="K18" s="504" t="s">
        <v>255</v>
      </c>
      <c r="L18" s="505"/>
      <c r="M18" s="46" t="e">
        <f>IF(N18="","",U18)</f>
        <v>#REF!</v>
      </c>
      <c r="N18" s="502" t="e">
        <f>F28</f>
        <v>#REF!</v>
      </c>
      <c r="O18" s="503"/>
      <c r="P18" s="504"/>
      <c r="Q18" s="505"/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3.9" customHeight="1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4"/>
      <c r="L19" s="505"/>
      <c r="M19" s="46"/>
      <c r="N19" s="502"/>
      <c r="O19" s="503"/>
      <c r="P19" s="504"/>
      <c r="Q19" s="505"/>
      <c r="T19" s="140" t="s">
        <v>183</v>
      </c>
      <c r="U19" s="46">
        <f t="shared" ref="U19:U73" ca="1" si="1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3.9" customHeight="1">
      <c r="A20" s="30"/>
      <c r="B20" s="28" t="s">
        <v>185</v>
      </c>
      <c r="C20" s="28"/>
      <c r="D20" s="42" t="s">
        <v>73</v>
      </c>
      <c r="E20" s="50">
        <f>'Pricelist Standard'!AE7</f>
        <v>0</v>
      </c>
      <c r="F20" s="551" t="e">
        <f>F15*E20</f>
        <v>#REF!</v>
      </c>
      <c r="G20" s="551"/>
      <c r="H20" s="551"/>
      <c r="I20" s="552"/>
      <c r="J20" s="19"/>
      <c r="K20" s="504"/>
      <c r="L20" s="505"/>
      <c r="M20" s="46"/>
      <c r="N20" s="502"/>
      <c r="O20" s="503"/>
      <c r="P20" s="504"/>
      <c r="Q20" s="505"/>
      <c r="T20" s="140" t="s">
        <v>186</v>
      </c>
      <c r="U20" s="46">
        <f t="shared" ca="1" si="1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4.25">
      <c r="A21" s="32"/>
      <c r="B21" s="44" t="s">
        <v>188</v>
      </c>
      <c r="C21" s="45"/>
      <c r="D21" s="26" t="s">
        <v>73</v>
      </c>
      <c r="E21" s="50">
        <f>'Pricelist Standard'!AD7</f>
        <v>7.0000000000000007E-2</v>
      </c>
      <c r="F21" s="548" t="e">
        <f>E21*F15</f>
        <v>#REF!</v>
      </c>
      <c r="G21" s="549"/>
      <c r="H21" s="549"/>
      <c r="I21" s="550"/>
      <c r="J21" s="19"/>
      <c r="K21" s="504"/>
      <c r="L21" s="505"/>
      <c r="M21" s="46"/>
      <c r="N21" s="502"/>
      <c r="O21" s="503"/>
      <c r="P21" s="504"/>
      <c r="Q21" s="505"/>
      <c r="T21" s="140" t="s">
        <v>189</v>
      </c>
      <c r="U21" s="46">
        <f t="shared" ca="1" si="1"/>
        <v>45981</v>
      </c>
      <c r="Y21" s="136"/>
      <c r="AV21" s="1"/>
    </row>
    <row r="22" spans="1:48" ht="13.15" customHeight="1">
      <c r="A22" s="18"/>
      <c r="B22" s="35"/>
      <c r="C22" s="20"/>
      <c r="D22" s="26"/>
      <c r="E22" s="17"/>
      <c r="F22" s="47"/>
      <c r="G22" s="47"/>
      <c r="H22" s="47"/>
      <c r="I22" s="47"/>
      <c r="J22" s="19"/>
      <c r="K22" s="504"/>
      <c r="L22" s="505"/>
      <c r="M22" s="46"/>
      <c r="N22" s="502"/>
      <c r="O22" s="503"/>
      <c r="P22" s="504"/>
      <c r="Q22" s="505"/>
      <c r="T22" s="140" t="s">
        <v>190</v>
      </c>
      <c r="U22" s="46">
        <f t="shared" ca="1" si="1"/>
        <v>46011</v>
      </c>
      <c r="AV22" s="1"/>
    </row>
    <row r="23" spans="1:48" ht="13.15" customHeight="1">
      <c r="A23" s="18"/>
      <c r="B23" s="44" t="s">
        <v>17</v>
      </c>
      <c r="C23" s="45"/>
      <c r="D23" s="17" t="s">
        <v>73</v>
      </c>
      <c r="E23" s="51"/>
      <c r="F23" s="476" t="e">
        <f>F17+F20+F21</f>
        <v>#REF!</v>
      </c>
      <c r="G23" s="477"/>
      <c r="H23" s="477"/>
      <c r="I23" s="478"/>
      <c r="J23" s="19"/>
      <c r="K23" s="504"/>
      <c r="L23" s="505"/>
      <c r="M23" s="46"/>
      <c r="N23" s="502"/>
      <c r="O23" s="503"/>
      <c r="P23" s="504"/>
      <c r="Q23" s="505"/>
      <c r="T23" s="140" t="s">
        <v>191</v>
      </c>
      <c r="U23" s="46">
        <f t="shared" ca="1" si="1"/>
        <v>46042</v>
      </c>
      <c r="AV23" s="1"/>
    </row>
    <row r="24" spans="1:48" ht="15" customHeight="1">
      <c r="A24" s="18"/>
      <c r="B24" s="35"/>
      <c r="C24" s="20"/>
      <c r="D24" s="26"/>
      <c r="E24" s="52"/>
      <c r="F24" s="53"/>
      <c r="G24" s="54"/>
      <c r="H24" s="54"/>
      <c r="I24" s="55"/>
      <c r="J24" s="19"/>
      <c r="K24" s="504"/>
      <c r="L24" s="505"/>
      <c r="M24" s="46"/>
      <c r="N24" s="502"/>
      <c r="O24" s="503"/>
      <c r="P24" s="127"/>
      <c r="Q24" s="128"/>
      <c r="T24" s="140" t="s">
        <v>192</v>
      </c>
      <c r="U24" s="46">
        <f t="shared" ca="1" si="1"/>
        <v>46073</v>
      </c>
      <c r="AV24" s="1"/>
    </row>
    <row r="25" spans="1:48" ht="13.15" customHeight="1">
      <c r="A25" s="18"/>
      <c r="B25" s="24" t="s">
        <v>256</v>
      </c>
      <c r="C25" s="25"/>
      <c r="D25" s="40" t="s">
        <v>73</v>
      </c>
      <c r="E25" s="56">
        <f>'SPC San Esteban A'!E25</f>
        <v>0.05</v>
      </c>
      <c r="F25" s="476" t="e">
        <f>F23*E25</f>
        <v>#REF!</v>
      </c>
      <c r="G25" s="477"/>
      <c r="H25" s="477"/>
      <c r="I25" s="478"/>
      <c r="J25" s="19"/>
      <c r="K25" s="504"/>
      <c r="L25" s="505"/>
      <c r="M25" s="46"/>
      <c r="N25" s="502"/>
      <c r="O25" s="503"/>
      <c r="P25" s="127"/>
      <c r="Q25" s="128"/>
      <c r="T25" s="140" t="s">
        <v>194</v>
      </c>
      <c r="U25" s="46">
        <f t="shared" ca="1" si="1"/>
        <v>46101</v>
      </c>
      <c r="AV25" s="1"/>
    </row>
    <row r="26" spans="1:48" ht="13.15" customHeight="1">
      <c r="A26" s="18"/>
      <c r="B26" s="498" t="s">
        <v>195</v>
      </c>
      <c r="C26" s="498"/>
      <c r="D26" s="42" t="str">
        <f>D25</f>
        <v>:</v>
      </c>
      <c r="E26" s="57"/>
      <c r="F26" s="58"/>
      <c r="G26" s="58"/>
      <c r="H26" s="499"/>
      <c r="I26" s="500"/>
      <c r="J26" s="19"/>
      <c r="K26" s="504"/>
      <c r="L26" s="505"/>
      <c r="M26" s="46"/>
      <c r="N26" s="502"/>
      <c r="O26" s="503"/>
      <c r="P26" s="127"/>
      <c r="Q26" s="128"/>
      <c r="T26" s="140" t="s">
        <v>196</v>
      </c>
      <c r="U26" s="46">
        <f t="shared" ca="1" si="1"/>
        <v>46132</v>
      </c>
      <c r="AV26" s="1"/>
    </row>
    <row r="27" spans="1:48" ht="13.15" customHeight="1">
      <c r="A27" s="30"/>
      <c r="B27" s="27" t="s">
        <v>197</v>
      </c>
      <c r="C27" s="28"/>
      <c r="D27" s="26" t="s">
        <v>73</v>
      </c>
      <c r="E27" s="59"/>
      <c r="F27" s="60">
        <v>50000</v>
      </c>
      <c r="G27" s="61"/>
      <c r="H27" s="62"/>
      <c r="I27" s="63"/>
      <c r="J27" s="19"/>
      <c r="K27" s="504"/>
      <c r="L27" s="505"/>
      <c r="M27" s="46"/>
      <c r="N27" s="502"/>
      <c r="O27" s="503"/>
      <c r="P27" s="127"/>
      <c r="Q27" s="128"/>
      <c r="T27" s="140" t="s">
        <v>198</v>
      </c>
      <c r="U27" s="46">
        <f t="shared" ca="1" si="1"/>
        <v>46162</v>
      </c>
      <c r="AV27" s="1"/>
    </row>
    <row r="28" spans="1:48" ht="13.15" customHeight="1">
      <c r="A28" s="18"/>
      <c r="B28" s="44" t="s">
        <v>199</v>
      </c>
      <c r="C28" s="45"/>
      <c r="D28" s="17" t="s">
        <v>73</v>
      </c>
      <c r="E28" s="59"/>
      <c r="F28" s="476" t="e">
        <f>F25-F26-F27</f>
        <v>#REF!</v>
      </c>
      <c r="G28" s="477"/>
      <c r="H28" s="477"/>
      <c r="I28" s="478"/>
      <c r="J28" s="19"/>
      <c r="K28" s="492" t="s">
        <v>203</v>
      </c>
      <c r="L28" s="492"/>
      <c r="M28" s="46" t="e">
        <f>M18+31</f>
        <v>#REF!</v>
      </c>
      <c r="N28" s="493" t="e">
        <f>F30</f>
        <v>#REF!</v>
      </c>
      <c r="O28" s="493"/>
      <c r="P28" s="494"/>
      <c r="Q28" s="495"/>
      <c r="T28" s="140" t="s">
        <v>200</v>
      </c>
      <c r="U28" s="46">
        <f t="shared" ca="1" si="1"/>
        <v>46193</v>
      </c>
      <c r="AV28" s="1"/>
    </row>
    <row r="29" spans="1:48">
      <c r="A29" s="18"/>
      <c r="B29" s="35"/>
      <c r="C29" s="20"/>
      <c r="D29" s="17"/>
      <c r="E29" s="26"/>
      <c r="F29" s="47"/>
      <c r="G29" s="47"/>
      <c r="H29" s="47"/>
      <c r="I29" s="47"/>
      <c r="J29" s="19"/>
      <c r="K29" s="492" t="s">
        <v>91</v>
      </c>
      <c r="L29" s="492"/>
      <c r="M29" s="66"/>
      <c r="N29" s="554" t="e">
        <f>SUM(N17:O28)</f>
        <v>#REF!</v>
      </c>
      <c r="O29" s="554"/>
      <c r="P29" s="494"/>
      <c r="Q29" s="495"/>
      <c r="T29" s="140" t="s">
        <v>201</v>
      </c>
      <c r="U29" s="46">
        <f t="shared" ca="1" si="1"/>
        <v>46223</v>
      </c>
      <c r="AV29" s="1"/>
    </row>
    <row r="30" spans="1:48">
      <c r="A30" s="18"/>
      <c r="B30" s="44" t="s">
        <v>207</v>
      </c>
      <c r="C30" s="44"/>
      <c r="D30" s="17" t="s">
        <v>73</v>
      </c>
      <c r="E30" s="67">
        <f>100%-E25</f>
        <v>0.95</v>
      </c>
      <c r="F30" s="476" t="e">
        <f>F23*E30</f>
        <v>#REF!</v>
      </c>
      <c r="G30" s="477"/>
      <c r="H30" s="477"/>
      <c r="I30" s="478"/>
      <c r="J30" s="19"/>
      <c r="K30" s="496"/>
      <c r="L30" s="496"/>
      <c r="M30" s="68"/>
      <c r="N30" s="497"/>
      <c r="O30" s="497"/>
      <c r="P30" s="69"/>
      <c r="Q30" s="19"/>
      <c r="T30" s="123"/>
      <c r="U30" s="46"/>
      <c r="AV30" s="1"/>
    </row>
    <row r="31" spans="1:48">
      <c r="A31" s="18"/>
      <c r="B31" s="20"/>
      <c r="C31" s="35"/>
      <c r="D31" s="65"/>
      <c r="E31" s="65"/>
      <c r="F31" s="65"/>
      <c r="G31" s="70"/>
      <c r="H31" s="70"/>
      <c r="I31" s="70"/>
      <c r="J31" s="19"/>
      <c r="T31" s="123"/>
      <c r="U31" s="46"/>
      <c r="AV31" s="1"/>
    </row>
    <row r="32" spans="1:48">
      <c r="A32" s="18"/>
      <c r="B32" s="45" t="s">
        <v>210</v>
      </c>
      <c r="C32" s="44"/>
      <c r="D32" s="71"/>
      <c r="E32" s="72"/>
      <c r="F32" s="73"/>
      <c r="G32" s="70"/>
      <c r="H32" s="70"/>
      <c r="I32" s="70"/>
      <c r="J32" s="19"/>
      <c r="T32" s="123" t="s">
        <v>206</v>
      </c>
      <c r="U32" s="46" t="e">
        <f>IF(AND(DAY(#REF!)&gt;=6,DAY(#REF!)&lt;=20),DATE(YEAR(#REF!),MONTH(#REF!)+1,DAY(20)),IF(AND(DAY(#REF!)&gt;=21,DAY(#REF!)&lt;=30),DATE(YEAR(#REF!),MONTH(#REF!)+1,IF(DAY(EOMONTH(#REF!,1))&lt;30,DAY(EOMONTH(#REF!,1)),DAY(30))),DATE(YEAR(#REF!),MONTH(#REF!)+1,DAY(5))))</f>
        <v>#REF!</v>
      </c>
      <c r="AV32" s="1"/>
    </row>
    <row r="33" spans="1:48">
      <c r="A33" s="18"/>
      <c r="B33" s="18"/>
      <c r="C33" s="74"/>
      <c r="D33" s="74"/>
      <c r="E33" s="75"/>
      <c r="F33" s="71"/>
      <c r="G33" s="71"/>
      <c r="H33" s="71"/>
      <c r="I33" s="71"/>
      <c r="J33" s="19"/>
      <c r="T33" s="123" t="s">
        <v>208</v>
      </c>
      <c r="U33" s="46" t="e">
        <f t="shared" si="1"/>
        <v>#REF!</v>
      </c>
      <c r="AV33" s="1"/>
    </row>
    <row r="34" spans="1:48">
      <c r="A34" s="18"/>
      <c r="B34" s="76" t="s">
        <v>213</v>
      </c>
      <c r="C34" s="76" t="s">
        <v>214</v>
      </c>
      <c r="D34" s="76" t="s">
        <v>215</v>
      </c>
      <c r="E34" s="76" t="s">
        <v>216</v>
      </c>
      <c r="F34" s="489" t="s">
        <v>217</v>
      </c>
      <c r="G34" s="489"/>
      <c r="H34" s="489"/>
      <c r="I34" s="489"/>
      <c r="J34" s="17"/>
      <c r="K34" s="74"/>
      <c r="L34" s="74"/>
      <c r="M34" s="74"/>
      <c r="N34" s="74"/>
      <c r="O34" s="74"/>
      <c r="P34" s="74"/>
      <c r="Q34" s="74"/>
      <c r="T34" s="123" t="s">
        <v>209</v>
      </c>
      <c r="U34" s="46" t="e">
        <f t="shared" si="1"/>
        <v>#REF!</v>
      </c>
      <c r="AV34" s="1"/>
    </row>
    <row r="35" spans="1:48">
      <c r="A35" s="18"/>
      <c r="B35" s="77">
        <v>5</v>
      </c>
      <c r="C35" s="78">
        <v>8.5000000000000006E-2</v>
      </c>
      <c r="D35" s="79">
        <f>PMT(C35/12,B35*12,-1)</f>
        <v>2.0516531327051248E-2</v>
      </c>
      <c r="E35" s="80" t="e">
        <f>F30*D35</f>
        <v>#REF!</v>
      </c>
      <c r="F35" s="490" t="e">
        <f>E35/0.33</f>
        <v>#REF!</v>
      </c>
      <c r="G35" s="490"/>
      <c r="H35" s="490"/>
      <c r="I35" s="490"/>
      <c r="J35" s="17"/>
      <c r="K35" s="19" t="s">
        <v>218</v>
      </c>
      <c r="L35" s="18"/>
      <c r="M35" s="18"/>
      <c r="N35" s="18"/>
      <c r="O35" s="19" t="s">
        <v>219</v>
      </c>
      <c r="P35" s="18"/>
      <c r="Q35" s="18"/>
      <c r="T35" s="123" t="s">
        <v>211</v>
      </c>
      <c r="U35" s="46" t="e">
        <f t="shared" si="1"/>
        <v>#REF!</v>
      </c>
      <c r="AV35" s="1"/>
    </row>
    <row r="36" spans="1:48">
      <c r="A36" s="18"/>
      <c r="B36" s="77">
        <v>10</v>
      </c>
      <c r="C36" s="78">
        <v>8.5000000000000006E-2</v>
      </c>
      <c r="D36" s="79">
        <f>PMT(C36/12,B36*12,-1)</f>
        <v>1.2398568887451111E-2</v>
      </c>
      <c r="E36" s="80" t="e">
        <f>F30*D36</f>
        <v>#REF!</v>
      </c>
      <c r="F36" s="490" t="e">
        <f>E36/0.33</f>
        <v>#REF!</v>
      </c>
      <c r="G36" s="490"/>
      <c r="H36" s="490"/>
      <c r="I36" s="490"/>
      <c r="J36" s="74"/>
      <c r="K36" s="18"/>
      <c r="L36" s="18"/>
      <c r="M36" s="26"/>
      <c r="N36" s="18"/>
      <c r="O36" s="18"/>
      <c r="P36" s="18"/>
      <c r="Q36" s="18"/>
      <c r="R36" s="74"/>
      <c r="T36" s="123" t="s">
        <v>212</v>
      </c>
      <c r="U36" s="46" t="e">
        <f t="shared" si="1"/>
        <v>#REF!</v>
      </c>
      <c r="AV36" s="1"/>
    </row>
    <row r="37" spans="1:48">
      <c r="A37" s="18"/>
      <c r="B37" s="77">
        <v>15</v>
      </c>
      <c r="C37" s="78">
        <v>8.5000000000000006E-2</v>
      </c>
      <c r="D37" s="79">
        <f t="shared" ref="D37:D38" si="2">PMT(C37/12,B37*12,-1)</f>
        <v>9.8473955792559333E-3</v>
      </c>
      <c r="E37" s="80" t="e">
        <f>F30*D37</f>
        <v>#REF!</v>
      </c>
      <c r="F37" s="490" t="e">
        <f>E37/0.33</f>
        <v>#REF!</v>
      </c>
      <c r="G37" s="490"/>
      <c r="H37" s="490"/>
      <c r="I37" s="490"/>
      <c r="J37" s="19"/>
      <c r="K37" s="18"/>
      <c r="L37" s="18"/>
      <c r="M37" s="26"/>
      <c r="N37" s="18"/>
      <c r="O37" s="18"/>
      <c r="P37" s="18"/>
      <c r="Q37" s="18"/>
      <c r="R37" s="18"/>
      <c r="T37" s="123" t="s">
        <v>220</v>
      </c>
      <c r="U37" s="46" t="e">
        <f t="shared" si="1"/>
        <v>#REF!</v>
      </c>
      <c r="AV37" s="1"/>
    </row>
    <row r="38" spans="1:48">
      <c r="A38" s="18"/>
      <c r="B38" s="77">
        <v>20</v>
      </c>
      <c r="C38" s="78">
        <v>8.5000000000000006E-2</v>
      </c>
      <c r="D38" s="79">
        <f t="shared" si="2"/>
        <v>8.6782323336553387E-3</v>
      </c>
      <c r="E38" s="80" t="e">
        <f>F30*D38</f>
        <v>#REF!</v>
      </c>
      <c r="F38" s="490" t="e">
        <f>E38/0.33</f>
        <v>#REF!</v>
      </c>
      <c r="G38" s="490"/>
      <c r="H38" s="490"/>
      <c r="I38" s="490"/>
      <c r="J38" s="19"/>
      <c r="K38" s="491"/>
      <c r="L38" s="491"/>
      <c r="M38" s="491"/>
      <c r="N38" s="19"/>
      <c r="O38" s="125"/>
      <c r="P38" s="125"/>
      <c r="Q38" s="125"/>
      <c r="R38" s="18"/>
      <c r="T38" s="123" t="s">
        <v>221</v>
      </c>
      <c r="U38" s="46" t="e">
        <f t="shared" si="1"/>
        <v>#REF!</v>
      </c>
      <c r="AV38" s="1"/>
    </row>
    <row r="39" spans="1:48">
      <c r="A39" s="18"/>
      <c r="B39" s="81" t="s">
        <v>226</v>
      </c>
      <c r="C39" s="82"/>
      <c r="D39" s="83"/>
      <c r="E39" s="129"/>
      <c r="F39" s="130"/>
      <c r="G39" s="130"/>
      <c r="H39" s="130"/>
      <c r="I39" s="130"/>
      <c r="J39" s="19"/>
      <c r="K39" s="86" t="s">
        <v>224</v>
      </c>
      <c r="L39" s="487"/>
      <c r="M39" s="487"/>
      <c r="N39" s="18"/>
      <c r="O39" s="488" t="s">
        <v>225</v>
      </c>
      <c r="P39" s="488"/>
      <c r="Q39" s="488"/>
      <c r="R39" s="18"/>
      <c r="T39" s="123" t="s">
        <v>222</v>
      </c>
      <c r="U39" s="46" t="e">
        <f t="shared" si="1"/>
        <v>#REF!</v>
      </c>
      <c r="AV39" s="1"/>
    </row>
    <row r="40" spans="1:48" ht="14.25">
      <c r="A40" s="18"/>
      <c r="B40" s="81" t="s">
        <v>227</v>
      </c>
      <c r="C40" s="82"/>
      <c r="D40" s="83"/>
      <c r="E40" s="129"/>
      <c r="F40" s="130"/>
      <c r="G40" s="130"/>
      <c r="H40" s="130"/>
      <c r="I40" s="130"/>
      <c r="J40" s="19"/>
      <c r="K40" s="89"/>
      <c r="L40" s="89"/>
      <c r="M40" s="89"/>
      <c r="N40" s="89"/>
      <c r="O40" s="89"/>
      <c r="P40" s="90"/>
      <c r="Q40" s="90"/>
      <c r="R40" s="126"/>
      <c r="T40" s="123" t="s">
        <v>223</v>
      </c>
      <c r="U40" s="46" t="e">
        <f t="shared" si="1"/>
        <v>#REF!</v>
      </c>
      <c r="AV40" s="1"/>
    </row>
    <row r="41" spans="1:48">
      <c r="A41" s="18"/>
      <c r="B41" s="91" t="s">
        <v>228</v>
      </c>
      <c r="C41" s="82"/>
      <c r="D41" s="83"/>
      <c r="E41" s="129"/>
      <c r="F41" s="130"/>
      <c r="G41" s="130"/>
      <c r="H41" s="130"/>
      <c r="I41" s="130"/>
      <c r="J41" s="19"/>
      <c r="K41" s="92"/>
      <c r="L41" s="18"/>
      <c r="M41" s="39"/>
      <c r="N41" s="18"/>
      <c r="O41" s="18"/>
      <c r="P41" s="18"/>
      <c r="Q41" s="18"/>
      <c r="R41" s="126"/>
      <c r="T41" s="123"/>
      <c r="U41" s="46" t="e">
        <f t="shared" si="1"/>
        <v>#REF!</v>
      </c>
      <c r="AV41" s="1"/>
    </row>
    <row r="42" spans="1:48">
      <c r="A42" s="18"/>
      <c r="B42" s="91" t="s">
        <v>229</v>
      </c>
      <c r="C42" s="82"/>
      <c r="D42" s="83"/>
      <c r="E42" s="129"/>
      <c r="F42" s="130"/>
      <c r="G42" s="130"/>
      <c r="H42" s="130"/>
      <c r="I42" s="130"/>
      <c r="J42" s="19"/>
      <c r="K42" s="92"/>
      <c r="L42" s="18"/>
      <c r="M42" s="39"/>
      <c r="N42" s="18"/>
      <c r="O42" s="18"/>
      <c r="P42" s="18"/>
      <c r="Q42" s="18"/>
      <c r="R42" s="126"/>
      <c r="T42" s="123"/>
      <c r="U42" s="46" t="e">
        <f t="shared" si="1"/>
        <v>#REF!</v>
      </c>
      <c r="AV42" s="1"/>
    </row>
    <row r="43" spans="1:48">
      <c r="A43" s="18"/>
      <c r="B43" s="26"/>
      <c r="C43" s="82"/>
      <c r="D43" s="83"/>
      <c r="E43" s="129"/>
      <c r="F43" s="130"/>
      <c r="G43" s="130"/>
      <c r="H43" s="130"/>
      <c r="I43" s="130"/>
      <c r="J43" s="19"/>
      <c r="K43" s="92"/>
      <c r="L43" s="18"/>
      <c r="M43" s="39"/>
      <c r="N43" s="18"/>
      <c r="O43" s="18"/>
      <c r="P43" s="18"/>
      <c r="Q43" s="18"/>
      <c r="R43" s="126"/>
      <c r="T43" s="123"/>
      <c r="U43" s="46" t="e">
        <f t="shared" si="1"/>
        <v>#REF!</v>
      </c>
      <c r="AV43" s="1"/>
    </row>
    <row r="44" spans="1:48">
      <c r="A44" s="18"/>
      <c r="B44" s="19" t="s">
        <v>230</v>
      </c>
      <c r="C44" s="82"/>
      <c r="D44" s="83"/>
      <c r="E44" s="129"/>
      <c r="J44" s="19"/>
      <c r="K44" s="92"/>
      <c r="L44" s="18"/>
      <c r="M44" s="39"/>
      <c r="N44" s="18"/>
      <c r="O44" s="18"/>
      <c r="P44" s="18"/>
      <c r="Q44" s="18"/>
      <c r="R44" s="126"/>
      <c r="T44" s="123"/>
      <c r="U44" s="46" t="e">
        <f t="shared" si="1"/>
        <v>#REF!</v>
      </c>
      <c r="AV44" s="1"/>
    </row>
    <row r="45" spans="1:48">
      <c r="A45" s="18"/>
      <c r="B45" s="76" t="s">
        <v>213</v>
      </c>
      <c r="C45" s="76" t="s">
        <v>214</v>
      </c>
      <c r="D45" s="76" t="s">
        <v>215</v>
      </c>
      <c r="E45" s="76" t="s">
        <v>231</v>
      </c>
      <c r="F45" s="489" t="s">
        <v>217</v>
      </c>
      <c r="G45" s="489"/>
      <c r="H45" s="489"/>
      <c r="I45" s="489"/>
      <c r="J45" s="19"/>
      <c r="K45" s="92"/>
      <c r="L45" s="18"/>
      <c r="M45" s="39"/>
      <c r="N45" s="18"/>
      <c r="O45" s="18"/>
      <c r="P45" s="18"/>
      <c r="Q45" s="18"/>
      <c r="R45" s="126"/>
      <c r="T45" s="123"/>
      <c r="U45" s="46" t="e">
        <f t="shared" si="1"/>
        <v>#REF!</v>
      </c>
      <c r="AV45" s="1"/>
    </row>
    <row r="46" spans="1:48">
      <c r="A46" s="18"/>
      <c r="B46" s="78" t="s">
        <v>257</v>
      </c>
      <c r="C46" s="131">
        <v>0.16</v>
      </c>
      <c r="D46" s="79">
        <f>'Pricelist Standard'!AQ6</f>
        <v>2.4318057116359135E-2</v>
      </c>
      <c r="E46" s="80" t="e">
        <f>F30*D46</f>
        <v>#REF!</v>
      </c>
      <c r="F46" s="490" t="e">
        <f>E46/0.33</f>
        <v>#REF!</v>
      </c>
      <c r="G46" s="490"/>
      <c r="H46" s="490"/>
      <c r="I46" s="490"/>
      <c r="J46" s="19"/>
      <c r="K46" s="92"/>
      <c r="L46" s="18"/>
      <c r="M46" s="39"/>
      <c r="N46" s="18"/>
      <c r="O46" s="18"/>
      <c r="P46" s="18"/>
      <c r="Q46" s="18"/>
      <c r="R46" s="126"/>
      <c r="T46" s="123"/>
      <c r="U46" s="46" t="e">
        <f t="shared" si="1"/>
        <v>#REF!</v>
      </c>
      <c r="AV46" s="1"/>
    </row>
    <row r="47" spans="1:48">
      <c r="A47" s="18"/>
      <c r="B47" s="78" t="s">
        <v>233</v>
      </c>
      <c r="C47" s="131">
        <v>0.18</v>
      </c>
      <c r="D47" s="79">
        <f>'Pricelist Standard'!AU6</f>
        <v>1.801851990409967E-2</v>
      </c>
      <c r="E47" s="80" t="e">
        <f>F30*D47</f>
        <v>#REF!</v>
      </c>
      <c r="F47" s="490" t="e">
        <f>E47/0.33</f>
        <v>#REF!</v>
      </c>
      <c r="G47" s="490"/>
      <c r="H47" s="490"/>
      <c r="I47" s="490"/>
      <c r="J47" s="19"/>
      <c r="K47" s="92"/>
      <c r="L47" s="18"/>
      <c r="M47" s="39"/>
      <c r="N47" s="18"/>
      <c r="O47" s="18"/>
      <c r="P47" s="18"/>
      <c r="Q47" s="18"/>
      <c r="R47" s="126"/>
      <c r="T47" s="123"/>
      <c r="U47" s="46" t="e">
        <f t="shared" si="1"/>
        <v>#REF!</v>
      </c>
      <c r="AV47" s="1"/>
    </row>
    <row r="48" spans="1:48">
      <c r="A48" s="18"/>
      <c r="B48" s="91" t="s">
        <v>228</v>
      </c>
      <c r="C48" s="82"/>
      <c r="D48" s="83"/>
      <c r="E48" s="129"/>
      <c r="F48" s="130"/>
      <c r="G48" s="130"/>
      <c r="H48" s="130"/>
      <c r="I48" s="130"/>
      <c r="J48" s="19"/>
      <c r="K48" s="92"/>
      <c r="L48" s="18"/>
      <c r="M48" s="39"/>
      <c r="N48" s="18"/>
      <c r="O48" s="18"/>
      <c r="P48" s="18"/>
      <c r="Q48" s="18"/>
      <c r="R48" s="126"/>
      <c r="T48" s="123"/>
      <c r="U48" s="46" t="e">
        <f t="shared" si="1"/>
        <v>#REF!</v>
      </c>
      <c r="AV48" s="1"/>
    </row>
    <row r="49" spans="1:48">
      <c r="A49" s="18"/>
      <c r="C49" s="82"/>
      <c r="D49" s="83"/>
      <c r="E49" s="84"/>
      <c r="F49" s="486"/>
      <c r="G49" s="486"/>
      <c r="H49" s="85"/>
      <c r="I49" s="18"/>
      <c r="J49" s="19"/>
      <c r="K49" s="92"/>
      <c r="L49" s="18"/>
      <c r="M49" s="39"/>
      <c r="N49" s="18"/>
      <c r="O49" s="18"/>
      <c r="P49" s="18"/>
      <c r="Q49" s="18"/>
      <c r="R49" s="126"/>
      <c r="T49" s="123"/>
      <c r="U49" s="46" t="e">
        <f t="shared" si="1"/>
        <v>#REF!</v>
      </c>
      <c r="AV49" s="1"/>
    </row>
    <row r="50" spans="1:48">
      <c r="A50" s="18"/>
      <c r="C50" s="88"/>
      <c r="D50" s="26"/>
      <c r="E50" s="18"/>
      <c r="F50" s="18"/>
      <c r="G50" s="18"/>
      <c r="H50" s="18"/>
      <c r="I50" s="18"/>
      <c r="J50" s="19"/>
      <c r="K50" s="92"/>
      <c r="L50" s="18"/>
      <c r="M50" s="39"/>
      <c r="N50" s="18"/>
      <c r="O50" s="18"/>
      <c r="P50" s="18"/>
      <c r="Q50" s="18"/>
      <c r="R50" s="126"/>
      <c r="T50" s="123"/>
      <c r="U50" s="46" t="e">
        <f t="shared" si="1"/>
        <v>#REF!</v>
      </c>
      <c r="AV50" s="1"/>
    </row>
    <row r="51" spans="1:48">
      <c r="A51" s="18"/>
      <c r="C51" s="18"/>
      <c r="D51" s="26"/>
      <c r="E51" s="18"/>
      <c r="F51" s="18"/>
      <c r="G51" s="18"/>
      <c r="H51" s="18"/>
      <c r="I51" s="18"/>
      <c r="J51" s="19"/>
      <c r="K51" s="92"/>
      <c r="L51" s="18"/>
      <c r="M51" s="39"/>
      <c r="N51" s="18"/>
      <c r="O51" s="18"/>
      <c r="P51" s="18"/>
      <c r="Q51" s="18"/>
      <c r="R51" s="18"/>
      <c r="T51" s="123" t="s">
        <v>234</v>
      </c>
      <c r="U51" s="46" t="e">
        <f t="shared" si="1"/>
        <v>#REF!</v>
      </c>
      <c r="AL51" s="87">
        <v>3128865.99</v>
      </c>
      <c r="AV51" s="1"/>
    </row>
    <row r="52" spans="1:48" ht="14.25">
      <c r="A52" s="18"/>
      <c r="C52" s="88"/>
      <c r="D52" s="26"/>
      <c r="E52" s="18"/>
      <c r="F52" s="18"/>
      <c r="G52" s="18"/>
      <c r="H52" s="18"/>
      <c r="I52" s="18"/>
      <c r="J52" s="19"/>
      <c r="K52" s="92"/>
      <c r="L52" s="18"/>
      <c r="M52" s="39"/>
      <c r="N52" s="18"/>
      <c r="O52" s="18"/>
      <c r="P52" s="18"/>
      <c r="Q52" s="18"/>
      <c r="R52" s="90"/>
      <c r="T52" s="123" t="s">
        <v>235</v>
      </c>
      <c r="U52" s="46" t="e">
        <f t="shared" si="1"/>
        <v>#REF!</v>
      </c>
      <c r="AV52" s="1"/>
    </row>
    <row r="53" spans="1:48">
      <c r="A53" s="18"/>
      <c r="B53" s="93"/>
      <c r="C53" s="18"/>
      <c r="D53" s="18"/>
      <c r="E53" s="18"/>
      <c r="F53" s="18"/>
      <c r="G53" s="18"/>
      <c r="H53" s="18"/>
      <c r="I53" s="18"/>
      <c r="J53" s="19"/>
      <c r="K53" s="92"/>
      <c r="L53" s="18"/>
      <c r="M53" s="39"/>
      <c r="N53" s="18"/>
      <c r="O53" s="18"/>
      <c r="P53" s="18"/>
      <c r="Q53" s="18"/>
      <c r="T53" s="123" t="s">
        <v>236</v>
      </c>
      <c r="U53" s="46" t="e">
        <f t="shared" si="1"/>
        <v>#REF!</v>
      </c>
      <c r="AV53" s="1"/>
    </row>
    <row r="54" spans="1:48">
      <c r="A54" s="18"/>
      <c r="J54" s="17"/>
      <c r="K54" s="92"/>
      <c r="L54" s="18"/>
      <c r="M54" s="39"/>
      <c r="N54" s="18"/>
      <c r="O54" s="18"/>
      <c r="P54" s="18"/>
      <c r="Q54" s="18"/>
      <c r="T54" s="123" t="s">
        <v>237</v>
      </c>
      <c r="U54" s="46" t="e">
        <f t="shared" si="1"/>
        <v>#REF!</v>
      </c>
      <c r="AV54" s="1"/>
    </row>
    <row r="55" spans="1:48">
      <c r="A55" s="18"/>
      <c r="J55" s="26"/>
      <c r="K55" s="19"/>
      <c r="L55" s="18"/>
      <c r="M55" s="18"/>
      <c r="N55" s="18"/>
      <c r="O55" s="19"/>
      <c r="P55" s="18"/>
      <c r="Q55" s="18"/>
      <c r="T55" s="123" t="s">
        <v>238</v>
      </c>
      <c r="U55" s="46" t="e">
        <f t="shared" si="1"/>
        <v>#REF!</v>
      </c>
      <c r="AV55" s="1"/>
    </row>
    <row r="56" spans="1:48">
      <c r="A56" s="18"/>
      <c r="J56" s="26"/>
      <c r="K56" s="18"/>
      <c r="L56" s="18"/>
      <c r="M56" s="26"/>
      <c r="N56" s="18"/>
      <c r="O56" s="18"/>
      <c r="P56" s="18"/>
      <c r="Q56" s="18"/>
      <c r="T56" s="123" t="s">
        <v>239</v>
      </c>
      <c r="U56" s="46" t="e">
        <f t="shared" si="1"/>
        <v>#REF!</v>
      </c>
      <c r="AV56" s="1"/>
    </row>
    <row r="57" spans="1:48">
      <c r="A57" s="18"/>
      <c r="J57" s="26"/>
      <c r="K57" s="18"/>
      <c r="L57" s="18"/>
      <c r="M57" s="26"/>
      <c r="N57" s="18"/>
      <c r="O57" s="18"/>
      <c r="P57" s="18"/>
      <c r="Q57" s="18"/>
      <c r="T57" s="123"/>
      <c r="U57" s="46" t="e">
        <f t="shared" si="1"/>
        <v>#REF!</v>
      </c>
      <c r="AH57" s="1"/>
      <c r="AU57" s="1"/>
      <c r="AV57" s="1"/>
    </row>
    <row r="58" spans="1:48">
      <c r="A58" s="18"/>
      <c r="J58" s="26"/>
      <c r="K58" s="484"/>
      <c r="L58" s="484"/>
      <c r="M58" s="484"/>
      <c r="N58" s="19"/>
      <c r="O58" s="484"/>
      <c r="P58" s="484"/>
      <c r="Q58" s="484"/>
      <c r="T58" s="123"/>
      <c r="U58" s="46" t="e">
        <f t="shared" si="1"/>
        <v>#REF!</v>
      </c>
      <c r="AH58" s="1"/>
      <c r="AU58" s="1"/>
      <c r="AV58" s="1"/>
    </row>
    <row r="59" spans="1:48" ht="15" customHeight="1">
      <c r="A59" s="18"/>
      <c r="J59" s="17"/>
      <c r="K59" s="18"/>
      <c r="L59" s="474"/>
      <c r="M59" s="474"/>
      <c r="N59" s="18"/>
      <c r="O59" s="485"/>
      <c r="P59" s="485"/>
      <c r="Q59" s="485"/>
      <c r="T59" s="132"/>
      <c r="U59" s="46" t="e">
        <f t="shared" si="1"/>
        <v>#REF!</v>
      </c>
      <c r="AH59" s="1"/>
      <c r="AU59" s="1"/>
      <c r="AV59" s="1"/>
    </row>
    <row r="60" spans="1:48">
      <c r="A60" s="18"/>
      <c r="J60" s="17"/>
      <c r="K60" s="92"/>
      <c r="L60" s="18"/>
      <c r="M60" s="84"/>
      <c r="N60" s="18"/>
      <c r="O60" s="18"/>
      <c r="P60" s="18"/>
      <c r="Q60" s="18"/>
      <c r="T60" s="132"/>
      <c r="U60" s="46" t="e">
        <f t="shared" si="1"/>
        <v>#REF!</v>
      </c>
      <c r="AH60" s="1"/>
      <c r="AU60" s="1"/>
      <c r="AV60" s="1"/>
    </row>
    <row r="61" spans="1:48" ht="15" customHeight="1">
      <c r="A61" s="18"/>
      <c r="B61" s="482"/>
      <c r="C61" s="482"/>
      <c r="D61" s="482"/>
      <c r="E61" s="482"/>
      <c r="F61" s="482"/>
      <c r="G61" s="483"/>
      <c r="H61" s="483"/>
      <c r="I61" s="483"/>
      <c r="J61" s="71"/>
      <c r="K61" s="92"/>
      <c r="L61" s="18"/>
      <c r="M61" s="84"/>
      <c r="N61" s="18"/>
      <c r="O61" s="18"/>
      <c r="P61" s="18"/>
      <c r="Q61" s="18"/>
      <c r="T61" s="123"/>
      <c r="U61" s="46" t="e">
        <f t="shared" si="1"/>
        <v>#REF!</v>
      </c>
      <c r="AH61" s="1"/>
      <c r="AU61" s="1"/>
      <c r="AV61" s="1"/>
    </row>
    <row r="62" spans="1:48">
      <c r="A62" s="18"/>
      <c r="B62" s="482"/>
      <c r="C62" s="482"/>
      <c r="D62" s="482"/>
      <c r="E62" s="482"/>
      <c r="F62" s="482"/>
      <c r="G62" s="483"/>
      <c r="H62" s="483"/>
      <c r="I62" s="483"/>
      <c r="J62" s="71"/>
      <c r="K62" s="92"/>
      <c r="L62" s="18"/>
      <c r="M62" s="39"/>
      <c r="N62" s="18"/>
      <c r="O62" s="18"/>
      <c r="P62" s="18"/>
      <c r="Q62" s="18"/>
      <c r="T62" s="123"/>
      <c r="U62" s="46" t="e">
        <f t="shared" si="1"/>
        <v>#REF!</v>
      </c>
      <c r="AH62" s="1"/>
      <c r="AU62" s="1"/>
      <c r="AV62" s="1"/>
    </row>
    <row r="63" spans="1:48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T63" s="123"/>
      <c r="U63" s="46" t="e">
        <f t="shared" si="1"/>
        <v>#REF!</v>
      </c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T64" s="123" t="s">
        <v>240</v>
      </c>
      <c r="U64" s="46" t="e">
        <f t="shared" si="1"/>
        <v>#REF!</v>
      </c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T65" s="123" t="s">
        <v>241</v>
      </c>
      <c r="U65" s="46" t="e">
        <f t="shared" si="1"/>
        <v>#REF!</v>
      </c>
      <c r="AH65" s="1"/>
      <c r="AU65" s="1"/>
      <c r="AV65" s="1"/>
    </row>
    <row r="66" spans="1:48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92"/>
      <c r="L66" s="18"/>
      <c r="M66" s="39"/>
      <c r="N66" s="18"/>
      <c r="O66" s="18"/>
      <c r="P66" s="18"/>
      <c r="Q66" s="18"/>
      <c r="T66" s="123" t="s">
        <v>242</v>
      </c>
      <c r="U66" s="46" t="e">
        <f t="shared" si="1"/>
        <v>#REF!</v>
      </c>
      <c r="AH66" s="1"/>
      <c r="AU66" s="1"/>
      <c r="AV66" s="1"/>
    </row>
    <row r="67" spans="1:48" ht="15" customHeight="1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92"/>
      <c r="L67" s="18"/>
      <c r="M67" s="39"/>
      <c r="N67" s="18"/>
      <c r="O67" s="18"/>
      <c r="P67" s="18"/>
      <c r="Q67" s="18"/>
      <c r="T67" s="123" t="s">
        <v>243</v>
      </c>
      <c r="U67" s="46" t="e">
        <f t="shared" si="1"/>
        <v>#REF!</v>
      </c>
      <c r="AH67" s="1"/>
      <c r="AU67" s="1"/>
      <c r="AV67" s="1"/>
    </row>
    <row r="68" spans="1:48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92"/>
      <c r="L68" s="18"/>
      <c r="M68" s="39"/>
      <c r="N68" s="18"/>
      <c r="O68" s="18"/>
      <c r="P68" s="18"/>
      <c r="Q68" s="18"/>
      <c r="T68" s="123" t="s">
        <v>244</v>
      </c>
      <c r="U68" s="46" t="e">
        <f t="shared" si="1"/>
        <v>#REF!</v>
      </c>
      <c r="AH68" s="1"/>
      <c r="AU68" s="1"/>
      <c r="AV68" s="1"/>
    </row>
    <row r="69" spans="1:48" ht="12.75" customHeight="1">
      <c r="A69" s="18"/>
      <c r="B69" s="93"/>
      <c r="C69" s="18"/>
      <c r="D69" s="18"/>
      <c r="E69" s="18"/>
      <c r="F69" s="18"/>
      <c r="G69" s="18"/>
      <c r="H69" s="18"/>
      <c r="I69" s="18"/>
      <c r="J69" s="71"/>
      <c r="K69" s="92"/>
      <c r="L69" s="18"/>
      <c r="M69" s="39"/>
      <c r="N69" s="18"/>
      <c r="O69" s="18"/>
      <c r="P69" s="18"/>
      <c r="Q69" s="18"/>
      <c r="T69" s="123" t="s">
        <v>245</v>
      </c>
      <c r="U69" s="46" t="e">
        <f t="shared" si="1"/>
        <v>#REF!</v>
      </c>
      <c r="AH69" s="1"/>
      <c r="AU69" s="1"/>
      <c r="AV69" s="1"/>
    </row>
    <row r="70" spans="1:48">
      <c r="A70" s="18"/>
      <c r="C70" s="93"/>
      <c r="D70" s="479"/>
      <c r="E70" s="480"/>
      <c r="F70" s="480"/>
      <c r="G70" s="18"/>
      <c r="H70" s="18"/>
      <c r="I70" s="18"/>
      <c r="J70" s="71"/>
      <c r="K70" s="92"/>
      <c r="L70" s="18"/>
      <c r="M70" s="39"/>
      <c r="N70" s="18"/>
      <c r="O70" s="18"/>
      <c r="P70" s="18"/>
      <c r="Q70" s="18"/>
      <c r="T70" s="123" t="s">
        <v>246</v>
      </c>
      <c r="U70" s="46" t="e">
        <f t="shared" si="1"/>
        <v>#REF!</v>
      </c>
      <c r="AH70" s="1"/>
      <c r="AU70" s="1"/>
      <c r="AV70" s="1"/>
    </row>
    <row r="71" spans="1:48">
      <c r="A71" s="18"/>
      <c r="B71" s="93"/>
      <c r="C71" s="18"/>
      <c r="D71" s="94"/>
      <c r="E71" s="94"/>
      <c r="F71" s="18"/>
      <c r="G71" s="18"/>
      <c r="H71" s="18"/>
      <c r="I71" s="18"/>
      <c r="J71" s="71"/>
      <c r="K71" s="92"/>
      <c r="L71" s="18"/>
      <c r="M71" s="39"/>
      <c r="N71" s="18"/>
      <c r="O71" s="18"/>
      <c r="P71" s="18"/>
      <c r="Q71" s="18"/>
      <c r="T71" s="123" t="s">
        <v>247</v>
      </c>
      <c r="U71" s="46" t="e">
        <f t="shared" si="1"/>
        <v>#REF!</v>
      </c>
      <c r="AH71" s="1"/>
      <c r="AU71" s="1"/>
      <c r="AV71" s="1"/>
    </row>
    <row r="72" spans="1:48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T72" s="123" t="s">
        <v>248</v>
      </c>
      <c r="U72" s="46" t="e">
        <f t="shared" si="1"/>
        <v>#REF!</v>
      </c>
      <c r="AH72" s="1"/>
      <c r="AU72" s="1"/>
      <c r="AV72" s="1"/>
    </row>
    <row r="73" spans="1:48">
      <c r="A73" s="18"/>
      <c r="B73" s="93"/>
      <c r="C73" s="18"/>
      <c r="D73" s="94"/>
      <c r="E73" s="94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T73" s="123" t="s">
        <v>249</v>
      </c>
      <c r="U73" s="46" t="e">
        <f t="shared" si="1"/>
        <v>#REF!</v>
      </c>
      <c r="AH73" s="1"/>
      <c r="AU73" s="1"/>
      <c r="AV73" s="1"/>
    </row>
    <row r="74" spans="1:48">
      <c r="A74" s="18"/>
      <c r="B74" s="93"/>
      <c r="C74" s="18"/>
      <c r="D74" s="94"/>
      <c r="E74" s="94"/>
      <c r="F74" s="18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T74" s="123" t="s">
        <v>250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AH75" s="1"/>
      <c r="AU75" s="1"/>
      <c r="AV75" s="1"/>
    </row>
    <row r="76" spans="1:48">
      <c r="A76" s="18"/>
      <c r="J76" s="71"/>
      <c r="K76" s="92"/>
      <c r="L76" s="18"/>
      <c r="M76" s="39"/>
      <c r="N76" s="18"/>
      <c r="O76" s="18"/>
      <c r="P76" s="18"/>
      <c r="Q76" s="18"/>
      <c r="AH76" s="1"/>
      <c r="AU76" s="1"/>
      <c r="AV76" s="1"/>
    </row>
    <row r="77" spans="1:48">
      <c r="A77" s="18"/>
      <c r="J77" s="71"/>
      <c r="K77" s="92"/>
      <c r="L77" s="18"/>
      <c r="M77" s="39"/>
      <c r="N77" s="18"/>
      <c r="O77" s="18"/>
      <c r="P77" s="18"/>
      <c r="Q77" s="18"/>
      <c r="AH77" s="1"/>
      <c r="AU77" s="1"/>
      <c r="AV77" s="1"/>
    </row>
    <row r="78" spans="1:48" ht="12" customHeight="1">
      <c r="A78" s="18"/>
      <c r="J78" s="71"/>
      <c r="K78" s="92"/>
      <c r="L78" s="18"/>
      <c r="M78" s="39"/>
      <c r="N78" s="18"/>
      <c r="O78" s="18"/>
      <c r="P78" s="18"/>
      <c r="Q78" s="18"/>
      <c r="AH78" s="1"/>
      <c r="AU78" s="1"/>
      <c r="AV78" s="1"/>
    </row>
    <row r="79" spans="1:48" ht="12" customHeight="1">
      <c r="A79" s="18"/>
      <c r="J79" s="71"/>
      <c r="K79" s="92"/>
      <c r="L79" s="18"/>
      <c r="M79" s="39"/>
      <c r="N79" s="18"/>
      <c r="O79" s="18"/>
      <c r="P79" s="18"/>
      <c r="Q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AH80" s="1"/>
      <c r="AU80" s="1"/>
      <c r="AV80" s="1"/>
    </row>
    <row r="81" spans="1:48" ht="12" customHeight="1">
      <c r="A81" s="18"/>
      <c r="B81" s="93"/>
      <c r="C81" s="18"/>
      <c r="D81" s="18"/>
      <c r="E81" s="18"/>
      <c r="F81" s="18"/>
      <c r="G81" s="18"/>
      <c r="H81" s="18"/>
      <c r="I81" s="18"/>
      <c r="J81" s="71"/>
      <c r="K81" s="92"/>
      <c r="L81" s="18"/>
      <c r="M81" s="39"/>
      <c r="N81" s="18"/>
      <c r="O81" s="18"/>
      <c r="P81" s="18"/>
      <c r="Q81" s="18"/>
      <c r="AH81" s="1"/>
      <c r="AU81" s="1"/>
      <c r="AV81" s="1"/>
    </row>
    <row r="82" spans="1:48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AH82" s="1"/>
      <c r="AU82" s="1"/>
      <c r="AV82" s="1"/>
    </row>
    <row r="83" spans="1:48" ht="12" customHeight="1">
      <c r="A83" s="18"/>
      <c r="B83" s="93"/>
      <c r="C83" s="18"/>
      <c r="D83" s="18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AH83" s="1"/>
      <c r="AU83" s="1"/>
      <c r="AV83" s="1"/>
    </row>
    <row r="84" spans="1:48" ht="12" customHeight="1">
      <c r="A84" s="18"/>
      <c r="B84" s="93"/>
      <c r="C84" s="18"/>
      <c r="D84" s="18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H85" s="1"/>
      <c r="AU85" s="1"/>
      <c r="AV85" s="1"/>
    </row>
    <row r="86" spans="1:48" ht="12" customHeight="1">
      <c r="A86" s="18"/>
      <c r="B86" s="93"/>
      <c r="C86" s="18"/>
      <c r="D86" s="26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H86" s="1"/>
      <c r="AU86" s="1"/>
      <c r="AV86" s="1"/>
    </row>
    <row r="87" spans="1:48" ht="12" customHeight="1">
      <c r="A87" s="18"/>
      <c r="B87" s="93"/>
      <c r="C87" s="18"/>
      <c r="D87" s="26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H87" s="1"/>
      <c r="AU87" s="1"/>
      <c r="AV87" s="1"/>
    </row>
    <row r="88" spans="1:48" ht="12" customHeight="1">
      <c r="A88" s="18"/>
      <c r="B88" s="93"/>
      <c r="C88" s="18"/>
      <c r="D88" s="26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H89" s="1"/>
      <c r="AU89" s="1"/>
      <c r="AV89" s="1"/>
    </row>
    <row r="90" spans="1:48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H90" s="1"/>
      <c r="AU90" s="1"/>
      <c r="AV90" s="1"/>
    </row>
    <row r="91" spans="1:48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18"/>
      <c r="L228" s="18"/>
      <c r="M228" s="39"/>
      <c r="N228" s="18"/>
      <c r="O228" s="18"/>
      <c r="P228" s="18"/>
      <c r="Q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18"/>
      <c r="L229" s="18"/>
      <c r="M229" s="26"/>
      <c r="N229" s="18"/>
      <c r="O229" s="18"/>
      <c r="P229" s="18"/>
      <c r="Q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18"/>
      <c r="L230" s="18"/>
      <c r="M230" s="26"/>
      <c r="N230" s="18"/>
      <c r="O230" s="18"/>
      <c r="P230" s="18"/>
      <c r="Q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18"/>
      <c r="L231" s="18"/>
      <c r="M231" s="26"/>
      <c r="N231" s="18"/>
      <c r="O231" s="18"/>
      <c r="P231" s="18"/>
      <c r="Q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481"/>
      <c r="L232" s="481"/>
      <c r="M232" s="481"/>
      <c r="N232" s="18"/>
      <c r="O232" s="18"/>
      <c r="P232" s="481"/>
      <c r="Q232" s="481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18"/>
      <c r="L233" s="474"/>
      <c r="M233" s="474"/>
      <c r="N233" s="18"/>
      <c r="O233" s="18"/>
      <c r="P233" s="18"/>
      <c r="Q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17"/>
      <c r="L234" s="18"/>
      <c r="M234" s="18"/>
      <c r="N234" s="18"/>
      <c r="O234" s="18"/>
      <c r="P234" s="18"/>
      <c r="Q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19"/>
      <c r="L235" s="18"/>
      <c r="M235" s="18"/>
      <c r="N235" s="18"/>
      <c r="O235" s="18"/>
      <c r="P235" s="18"/>
      <c r="Q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17"/>
      <c r="L236" s="1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4"/>
      <c r="L237" s="1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4"/>
      <c r="L238" s="1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4"/>
      <c r="L239" s="1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4"/>
      <c r="L240" s="1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4"/>
      <c r="L241" s="1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"/>
      <c r="L242" s="1"/>
      <c r="AH242" s="1"/>
      <c r="AU242" s="1"/>
      <c r="AV242" s="1"/>
    </row>
    <row r="243" spans="1:48" ht="12" customHeight="1">
      <c r="A243" s="18"/>
      <c r="B243" s="18"/>
      <c r="C243" s="18"/>
      <c r="D243" s="26"/>
      <c r="E243" s="18"/>
      <c r="F243" s="18"/>
      <c r="G243" s="18"/>
      <c r="H243" s="18"/>
      <c r="I243" s="18"/>
      <c r="J243" s="71"/>
      <c r="K243" s="4"/>
      <c r="L243" s="1"/>
      <c r="AH243" s="1"/>
      <c r="AU243" s="1"/>
      <c r="AV243" s="1"/>
    </row>
    <row r="244" spans="1:48" ht="12" customHeight="1">
      <c r="A244" s="18"/>
      <c r="B244" s="18"/>
      <c r="C244" s="18"/>
      <c r="D244" s="26"/>
      <c r="E244" s="18"/>
      <c r="F244" s="18"/>
      <c r="G244" s="18"/>
      <c r="H244" s="18"/>
      <c r="I244" s="18"/>
      <c r="J244" s="71"/>
      <c r="K244" s="4"/>
      <c r="L244" s="1"/>
      <c r="AH244" s="1"/>
      <c r="AU244" s="1"/>
      <c r="AV244" s="1"/>
    </row>
    <row r="245" spans="1:48" ht="12" customHeight="1">
      <c r="A245" s="18"/>
      <c r="B245" s="18"/>
      <c r="C245" s="18"/>
      <c r="D245" s="26"/>
      <c r="E245" s="18"/>
      <c r="F245" s="18"/>
      <c r="G245" s="18"/>
      <c r="H245" s="18"/>
      <c r="I245" s="18"/>
      <c r="J245" s="71"/>
      <c r="K245" s="4"/>
      <c r="L245" s="1"/>
      <c r="AH245" s="1"/>
      <c r="AU245" s="1"/>
      <c r="AV245" s="1"/>
    </row>
    <row r="246" spans="1:48" ht="12" customHeight="1">
      <c r="A246" s="18"/>
      <c r="B246" s="18"/>
      <c r="C246" s="18"/>
      <c r="D246" s="26"/>
      <c r="E246" s="18"/>
      <c r="F246" s="18"/>
      <c r="G246" s="18"/>
      <c r="H246" s="18"/>
      <c r="I246" s="18"/>
      <c r="J246" s="71"/>
      <c r="K246" s="4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18"/>
      <c r="E247" s="18"/>
      <c r="F247" s="26"/>
      <c r="G247" s="26"/>
      <c r="H247" s="26"/>
      <c r="I247" s="26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97"/>
      <c r="E249" s="98"/>
      <c r="F249" s="98"/>
      <c r="G249" s="98"/>
      <c r="H249" s="98"/>
      <c r="I249" s="17"/>
      <c r="J249" s="18"/>
      <c r="K249" s="4"/>
      <c r="L249" s="1"/>
      <c r="AH249" s="1"/>
      <c r="AU249" s="1"/>
      <c r="AV249" s="1"/>
    </row>
    <row r="250" spans="1:48" ht="12" customHeight="1">
      <c r="B250" s="18"/>
      <c r="C250" s="18"/>
      <c r="D250" s="97"/>
      <c r="E250" s="98"/>
      <c r="F250" s="98"/>
      <c r="G250" s="98"/>
      <c r="H250" s="98"/>
      <c r="I250" s="19"/>
      <c r="J250" s="18"/>
      <c r="AH250" s="1"/>
      <c r="AU250" s="1"/>
      <c r="AV250" s="1"/>
    </row>
    <row r="251" spans="1:48" ht="12" customHeight="1">
      <c r="A251" s="95" t="e">
        <f>(F15-#REF!)*12%</f>
        <v>#REF!</v>
      </c>
      <c r="B251" s="95"/>
      <c r="D251" s="99"/>
      <c r="E251" s="100"/>
      <c r="F251" s="100"/>
      <c r="G251" s="100"/>
      <c r="H251" s="100"/>
      <c r="I251" s="17"/>
      <c r="J251" s="18"/>
      <c r="AH251" s="1"/>
      <c r="AU251" s="1"/>
      <c r="AV251" s="1"/>
    </row>
    <row r="252" spans="1:48" ht="12" customHeight="1">
      <c r="A252" s="96"/>
      <c r="D252" s="99"/>
      <c r="F252" s="100"/>
      <c r="G252" s="100"/>
      <c r="H252" s="100"/>
      <c r="J252" s="18"/>
      <c r="AH252" s="1"/>
      <c r="AU252" s="1"/>
      <c r="AV252" s="1"/>
    </row>
    <row r="253" spans="1:48" ht="17.25" customHeight="1">
      <c r="D253" s="99"/>
      <c r="E253" s="100"/>
      <c r="F253" s="100"/>
      <c r="G253" s="100"/>
      <c r="H253" s="100"/>
      <c r="J253" s="18"/>
      <c r="AH253" s="1"/>
      <c r="AU253" s="1"/>
      <c r="AV253" s="1"/>
    </row>
    <row r="254" spans="1:48" ht="15.75" customHeight="1">
      <c r="D254" s="99"/>
      <c r="E254" s="100"/>
      <c r="F254" s="100"/>
      <c r="G254" s="100"/>
      <c r="H254" s="100"/>
      <c r="J254" s="18"/>
      <c r="AH254" s="1"/>
      <c r="AU254" s="1"/>
      <c r="AV254" s="1"/>
    </row>
    <row r="255" spans="1:48" ht="12.75" customHeight="1">
      <c r="D255" s="99"/>
      <c r="E255" s="100"/>
      <c r="F255" s="100"/>
      <c r="G255" s="100"/>
      <c r="H255" s="100"/>
      <c r="J255" s="18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J259" s="4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17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9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F791" s="100"/>
      <c r="G791" s="100"/>
      <c r="H791" s="100"/>
    </row>
    <row r="792" spans="4:8" ht="12.75" customHeight="1">
      <c r="D792" s="99"/>
      <c r="F792" s="100"/>
      <c r="G792" s="100"/>
      <c r="H792" s="100"/>
    </row>
    <row r="793" spans="4:8" ht="12.75" customHeight="1"/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oNWaldMjeUFDaFz42PbgB77zuBP4wvKsTFtLEN6NffHI9ZiyD/GL1kQnRWzCgkYVNb14pCYzdySFN+XuaVtPRQ==" saltValue="tr2Xs4PuwmRL/YuSZPid3w==" spinCount="100000" sheet="1" objects="1" scenarios="1"/>
  <mergeCells count="121">
    <mergeCell ref="G2:I2"/>
    <mergeCell ref="B4:I4"/>
    <mergeCell ref="K4:Q4"/>
    <mergeCell ref="E6:I6"/>
    <mergeCell ref="K6:L6"/>
    <mergeCell ref="N6:Q6"/>
    <mergeCell ref="E9:I9"/>
    <mergeCell ref="K9:L9"/>
    <mergeCell ref="N9:Q9"/>
    <mergeCell ref="E10:F10"/>
    <mergeCell ref="G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W18:X18"/>
    <mergeCell ref="K19:L19"/>
    <mergeCell ref="N19:O19"/>
    <mergeCell ref="P19:Q19"/>
    <mergeCell ref="W19:X19"/>
    <mergeCell ref="F20:I20"/>
    <mergeCell ref="K20:L20"/>
    <mergeCell ref="N20:O20"/>
    <mergeCell ref="P20:Q20"/>
    <mergeCell ref="W20:X20"/>
    <mergeCell ref="P23:Q23"/>
    <mergeCell ref="K24:L24"/>
    <mergeCell ref="N24:O24"/>
    <mergeCell ref="F21:I21"/>
    <mergeCell ref="K21:L21"/>
    <mergeCell ref="N21:O21"/>
    <mergeCell ref="P21:Q21"/>
    <mergeCell ref="K22:L22"/>
    <mergeCell ref="N22:O22"/>
    <mergeCell ref="P22:Q22"/>
    <mergeCell ref="B26:C26"/>
    <mergeCell ref="H26:I26"/>
    <mergeCell ref="N28:O28"/>
    <mergeCell ref="N29:O29"/>
    <mergeCell ref="F23:I23"/>
    <mergeCell ref="K23:L23"/>
    <mergeCell ref="N23:O23"/>
    <mergeCell ref="K26:L26"/>
    <mergeCell ref="K27:L27"/>
    <mergeCell ref="N26:O26"/>
    <mergeCell ref="N27:O27"/>
    <mergeCell ref="F25:I25"/>
    <mergeCell ref="K25:L25"/>
    <mergeCell ref="N25:O25"/>
    <mergeCell ref="F30:I30"/>
    <mergeCell ref="K30:L30"/>
    <mergeCell ref="N30:O30"/>
    <mergeCell ref="F35:I35"/>
    <mergeCell ref="F37:I37"/>
    <mergeCell ref="K38:M38"/>
    <mergeCell ref="K232:M232"/>
    <mergeCell ref="P232:Q232"/>
    <mergeCell ref="L233:M233"/>
    <mergeCell ref="O59:Q59"/>
    <mergeCell ref="D70:F70"/>
    <mergeCell ref="F46:I46"/>
    <mergeCell ref="F49:G49"/>
    <mergeCell ref="K58:M58"/>
    <mergeCell ref="O58:Q58"/>
    <mergeCell ref="L59:M59"/>
    <mergeCell ref="B61:C62"/>
    <mergeCell ref="B63:C64"/>
    <mergeCell ref="B65:C66"/>
    <mergeCell ref="B67:C68"/>
    <mergeCell ref="P28:Q28"/>
    <mergeCell ref="P29:Q29"/>
    <mergeCell ref="F34:I34"/>
    <mergeCell ref="F38:I38"/>
    <mergeCell ref="F36:I36"/>
    <mergeCell ref="F28:I28"/>
    <mergeCell ref="K28:L28"/>
    <mergeCell ref="K29:L29"/>
    <mergeCell ref="D61:F62"/>
    <mergeCell ref="G61:I62"/>
    <mergeCell ref="D63:F64"/>
    <mergeCell ref="G63:I64"/>
    <mergeCell ref="D65:F66"/>
    <mergeCell ref="G65:I66"/>
    <mergeCell ref="D67:F68"/>
    <mergeCell ref="G67:I68"/>
    <mergeCell ref="L39:M39"/>
    <mergeCell ref="O39:Q39"/>
    <mergeCell ref="F47:I47"/>
    <mergeCell ref="F45:I45"/>
  </mergeCell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38098-0B33-4FFE-942B-B462F230F0FE}">
  <sheetPr>
    <tabColor theme="3" tint="0.59999389629810485"/>
  </sheetPr>
  <dimension ref="A1:AY869"/>
  <sheetViews>
    <sheetView showGridLines="0" topLeftCell="A7" zoomScale="90" zoomScaleNormal="90" zoomScalePageLayoutView="70" workbookViewId="0">
      <selection activeCell="F20" sqref="F20:I20"/>
    </sheetView>
  </sheetViews>
  <sheetFormatPr defaultColWidth="8.85546875" defaultRowHeight="15"/>
  <cols>
    <col min="1" max="1" width="3" style="1" customWidth="1"/>
    <col min="2" max="2" width="16.5703125" style="1" customWidth="1"/>
    <col min="3" max="3" width="21.5703125" style="1" customWidth="1"/>
    <col min="4" max="4" width="12" style="1" bestFit="1" customWidth="1"/>
    <col min="5" max="5" width="19.285156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16.5703125" style="1" customWidth="1"/>
    <col min="12" max="12" width="21.5703125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12.28515625" customWidth="1"/>
    <col min="19" max="19" width="12.28515625" style="1" hidden="1" customWidth="1"/>
    <col min="20" max="20" width="12.28515625" style="9" hidden="1" customWidth="1"/>
    <col min="21" max="25" width="12.28515625" style="1" hidden="1" customWidth="1"/>
    <col min="26" max="27" width="12.28515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9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9">
      <c r="B2" s="13" t="s">
        <v>157</v>
      </c>
      <c r="C2" s="14">
        <f ca="1">FORM!E14</f>
        <v>45849</v>
      </c>
      <c r="D2" s="15"/>
      <c r="F2"/>
      <c r="G2"/>
      <c r="H2"/>
      <c r="I2"/>
      <c r="J2" s="17"/>
      <c r="M2" s="18"/>
      <c r="O2" s="318" t="s">
        <v>158</v>
      </c>
      <c r="P2" s="558" t="s">
        <v>159</v>
      </c>
      <c r="Q2" s="558"/>
      <c r="S2" s="21"/>
    </row>
    <row r="3" spans="1:19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9" ht="18.75" customHeight="1">
      <c r="A4" s="18"/>
      <c r="B4" s="489" t="s">
        <v>278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  <c r="S4" s="294"/>
    </row>
    <row r="5" spans="1:19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  <c r="S5" s="18"/>
    </row>
    <row r="6" spans="1:19">
      <c r="A6" s="18"/>
      <c r="B6" s="24" t="s">
        <v>162</v>
      </c>
      <c r="C6" s="25"/>
      <c r="D6" s="26" t="s">
        <v>73</v>
      </c>
      <c r="E6" s="501" t="str">
        <f>FORM!E16</f>
        <v>BUYER The Aguirre Townhouse Las Piñas</v>
      </c>
      <c r="F6" s="501"/>
      <c r="G6" s="501"/>
      <c r="H6" s="501"/>
      <c r="I6" s="501"/>
      <c r="J6" s="17"/>
      <c r="K6" s="535" t="str">
        <f>B6</f>
        <v>CLIENT'S NAME</v>
      </c>
      <c r="L6" s="535"/>
      <c r="M6" s="26" t="s">
        <v>73</v>
      </c>
      <c r="N6" s="536" t="str">
        <f t="shared" ref="N6:N13" si="0">E6</f>
        <v>BUYER The Aguirre Townhouse Las Piñas</v>
      </c>
      <c r="O6" s="536"/>
      <c r="P6" s="536"/>
      <c r="Q6" s="536"/>
      <c r="S6" s="26"/>
    </row>
    <row r="7" spans="1:19" ht="15.75" thickBot="1">
      <c r="A7" s="18"/>
      <c r="B7" s="27" t="s">
        <v>163</v>
      </c>
      <c r="C7" s="28"/>
      <c r="D7" s="26" t="s">
        <v>73</v>
      </c>
      <c r="E7" s="537" t="str">
        <f>'Pricelist Standard'!H3</f>
        <v>The Aguirre Townhouse - Las Piñas</v>
      </c>
      <c r="F7" s="474"/>
      <c r="G7" s="474"/>
      <c r="H7" s="474"/>
      <c r="I7" s="538"/>
      <c r="J7" s="17"/>
      <c r="K7" s="535" t="str">
        <f t="shared" ref="K7:K13" si="1">B7</f>
        <v>PROJECT NAME</v>
      </c>
      <c r="L7" s="535"/>
      <c r="M7" s="29" t="s">
        <v>73</v>
      </c>
      <c r="N7" s="536" t="str">
        <f t="shared" si="0"/>
        <v>The Aguirre Townhouse - Las Piñas</v>
      </c>
      <c r="O7" s="536"/>
      <c r="P7" s="536"/>
      <c r="Q7" s="536"/>
      <c r="S7" s="26"/>
    </row>
    <row r="8" spans="1:19">
      <c r="A8" s="30"/>
      <c r="B8" s="24" t="s">
        <v>258</v>
      </c>
      <c r="C8" s="25"/>
      <c r="D8" s="26" t="s">
        <v>73</v>
      </c>
      <c r="E8" s="553" t="str">
        <f>FORM!E4</f>
        <v>Unit 9</v>
      </c>
      <c r="F8" s="540"/>
      <c r="G8" s="540"/>
      <c r="H8" s="540"/>
      <c r="I8" s="541"/>
      <c r="J8" s="17"/>
      <c r="K8" s="535" t="str">
        <f t="shared" si="1"/>
        <v>HOUSE NUMBER</v>
      </c>
      <c r="L8" s="535"/>
      <c r="M8" s="26" t="s">
        <v>73</v>
      </c>
      <c r="N8" s="536" t="str">
        <f>E8</f>
        <v>Unit 9</v>
      </c>
      <c r="O8" s="536"/>
      <c r="P8" s="536"/>
      <c r="Q8" s="536"/>
      <c r="S8" s="26"/>
    </row>
    <row r="9" spans="1:19" ht="15" hidden="1" customHeight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tr">
        <f t="shared" si="1"/>
        <v>TOWER</v>
      </c>
      <c r="L9" s="535"/>
      <c r="M9" s="26" t="s">
        <v>73</v>
      </c>
      <c r="N9" s="536" t="str">
        <f t="shared" si="0"/>
        <v>N/A</v>
      </c>
      <c r="O9" s="536"/>
      <c r="P9" s="536"/>
      <c r="Q9" s="536"/>
      <c r="S9" s="26"/>
    </row>
    <row r="10" spans="1:19" ht="15.75" thickBot="1">
      <c r="A10" s="18"/>
      <c r="B10" s="27" t="s">
        <v>75</v>
      </c>
      <c r="C10" s="28"/>
      <c r="D10" s="26" t="s">
        <v>73</v>
      </c>
      <c r="E10" s="542" t="str">
        <f>'Pricelist Standard'!H9</f>
        <v>2 Storey</v>
      </c>
      <c r="F10" s="543"/>
      <c r="G10" s="543"/>
      <c r="H10" s="543"/>
      <c r="I10" s="556"/>
      <c r="J10" s="17"/>
      <c r="K10" s="535" t="str">
        <f t="shared" si="1"/>
        <v>HOUSE TYPE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  <c r="S10" s="26"/>
    </row>
    <row r="11" spans="1:19">
      <c r="A11" s="18"/>
      <c r="B11" s="27" t="str">
        <f>FORM!B32</f>
        <v>FLOOR AREA</v>
      </c>
      <c r="C11" s="28"/>
      <c r="D11" s="26" t="s">
        <v>73</v>
      </c>
      <c r="E11" s="519">
        <f>FORM!E32</f>
        <v>142.4</v>
      </c>
      <c r="F11" s="520"/>
      <c r="G11" s="31" t="s">
        <v>170</v>
      </c>
      <c r="H11" s="533"/>
      <c r="I11" s="534"/>
      <c r="J11" s="17"/>
      <c r="K11" s="535" t="str">
        <f t="shared" si="1"/>
        <v>FLOOR AREA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  <c r="S11" s="18"/>
    </row>
    <row r="12" spans="1:19">
      <c r="A12" s="30"/>
      <c r="B12" s="27" t="str">
        <f>FORM!B33</f>
        <v>LOT AREA</v>
      </c>
      <c r="C12" s="25"/>
      <c r="D12" s="26" t="s">
        <v>73</v>
      </c>
      <c r="E12" s="519">
        <f>FORM!E33</f>
        <v>80</v>
      </c>
      <c r="F12" s="520"/>
      <c r="G12" s="31" t="s">
        <v>170</v>
      </c>
      <c r="H12" s="521"/>
      <c r="I12" s="522"/>
      <c r="J12" s="17"/>
      <c r="K12" s="535" t="str">
        <f t="shared" si="1"/>
        <v>LOT AREA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  <c r="S12" s="18"/>
    </row>
    <row r="13" spans="1:19">
      <c r="A13" s="32"/>
      <c r="B13" s="27" t="str">
        <f>FORM!B34</f>
        <v>ACTUAL LOT AREA</v>
      </c>
      <c r="C13" s="25"/>
      <c r="D13" s="26" t="s">
        <v>73</v>
      </c>
      <c r="E13" s="519">
        <f>FORM!E34</f>
        <v>80</v>
      </c>
      <c r="F13" s="520"/>
      <c r="G13" s="31" t="s">
        <v>170</v>
      </c>
      <c r="H13" s="521"/>
      <c r="I13" s="522"/>
      <c r="J13" s="17"/>
      <c r="K13" s="535" t="str">
        <f t="shared" si="1"/>
        <v>ACTUAL LOT AREA</v>
      </c>
      <c r="L13" s="535"/>
      <c r="M13" s="26" t="s">
        <v>73</v>
      </c>
      <c r="N13" s="524">
        <f t="shared" si="0"/>
        <v>80</v>
      </c>
      <c r="O13" s="525"/>
      <c r="P13" s="521" t="s">
        <v>170</v>
      </c>
      <c r="Q13" s="522"/>
      <c r="S13" s="18"/>
    </row>
    <row r="14" spans="1:19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  <c r="S14" s="18"/>
    </row>
    <row r="15" spans="1:19" ht="15" customHeight="1">
      <c r="A15" s="18"/>
      <c r="B15" s="24" t="s">
        <v>174</v>
      </c>
      <c r="C15" s="24"/>
      <c r="D15" s="40" t="s">
        <v>73</v>
      </c>
      <c r="E15" s="41"/>
      <c r="F15" s="526">
        <f>'Standard Computation'!F15:I15</f>
        <v>8900000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  <c r="S15" s="294"/>
    </row>
    <row r="16" spans="1:19">
      <c r="A16" s="18"/>
      <c r="B16" s="28" t="s">
        <v>179</v>
      </c>
      <c r="C16" s="28"/>
      <c r="D16" s="42" t="s">
        <v>73</v>
      </c>
      <c r="E16" s="43"/>
      <c r="F16" s="551"/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  <c r="S16" s="294"/>
    </row>
    <row r="17" spans="1:48">
      <c r="A17" s="18"/>
      <c r="B17" s="28" t="s">
        <v>107</v>
      </c>
      <c r="C17" s="28"/>
      <c r="D17" s="17" t="s">
        <v>73</v>
      </c>
      <c r="E17" s="41"/>
      <c r="F17" s="526">
        <f>F15-F16</f>
        <v>8900000</v>
      </c>
      <c r="G17" s="526"/>
      <c r="H17" s="526"/>
      <c r="I17" s="527"/>
      <c r="J17" s="19"/>
      <c r="K17" s="501" t="s">
        <v>18</v>
      </c>
      <c r="L17" s="501"/>
      <c r="M17" s="46">
        <f ca="1">C2</f>
        <v>45849</v>
      </c>
      <c r="N17" s="490">
        <f>F25</f>
        <v>50000</v>
      </c>
      <c r="O17" s="490"/>
      <c r="P17" s="504"/>
      <c r="Q17" s="505"/>
      <c r="S17" s="26"/>
      <c r="U17" s="133">
        <f ca="1">M17</f>
        <v>45849</v>
      </c>
      <c r="V17" s="133">
        <f ca="1">EDATE(U17,E27)</f>
        <v>46579</v>
      </c>
    </row>
    <row r="18" spans="1:48" ht="13.9" customHeight="1">
      <c r="A18" s="18"/>
      <c r="B18" s="28" t="s">
        <v>180</v>
      </c>
      <c r="C18" s="45"/>
      <c r="D18" s="17"/>
      <c r="E18" s="145"/>
      <c r="F18" s="150">
        <f>F17/E11</f>
        <v>62500</v>
      </c>
      <c r="G18" s="146"/>
      <c r="H18" s="146"/>
      <c r="I18" s="147"/>
      <c r="J18" s="19"/>
      <c r="K18" s="504" t="str">
        <f>IF($E$27&gt;=S18, T18,"")</f>
        <v>1st Equity Payment</v>
      </c>
      <c r="L18" s="505"/>
      <c r="M18" s="46">
        <f ca="1">IF($E$27&gt;=S18, U18,"")</f>
        <v>45889</v>
      </c>
      <c r="N18" s="502">
        <f t="shared" ref="N18:N35" si="2">IF(S18=0,0,IF(S18&lt;=$F$29,$G$29,IF(S18&lt;=($F$30+$F$29),$G$30,IF(S18&lt;=($F$30+$F$29+$F$31),$G$31,""))))</f>
        <v>13317.1875</v>
      </c>
      <c r="O18" s="503"/>
      <c r="P18" s="504"/>
      <c r="Q18" s="505"/>
      <c r="S18" s="128">
        <v>1</v>
      </c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8.75" customHeight="1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4" t="str">
        <f t="shared" ref="K19:K41" si="3">IF($E$27&gt;=S19, T19,"")</f>
        <v>2nd Equity Payment</v>
      </c>
      <c r="L19" s="505"/>
      <c r="M19" s="46">
        <f t="shared" ref="M19:M41" ca="1" si="4">IF($E$27&gt;=S19, U19,"")</f>
        <v>45920</v>
      </c>
      <c r="N19" s="502">
        <f t="shared" si="2"/>
        <v>13317.1875</v>
      </c>
      <c r="O19" s="503"/>
      <c r="P19" s="504"/>
      <c r="Q19" s="505"/>
      <c r="S19" s="128">
        <f>S18+1</f>
        <v>2</v>
      </c>
      <c r="T19" s="140" t="s">
        <v>183</v>
      </c>
      <c r="U19" s="46">
        <f t="shared" ref="U19:U41" ca="1" si="5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>
        <f ca="1">IF(AND(DAY(V17)&gt;=6,DAY(V17)&lt;=20),DATE(YEAR(V17),MONTH(V17)+1,DAY(20)),IF(AND(DAY(V17)&gt;=21,DAY(V17)&lt;=31),DATE(YEAR(V17),MONTH(V17)+1,IF(DAY(EOMONTH(V17,1))&lt;30,DAY(EOMONTH(V17,1)),DAY(30))),DATE(YEAR(V17),MONTH(V17)+1,DAY(5))))</f>
        <v>46619</v>
      </c>
    </row>
    <row r="20" spans="1:48" ht="18.75" customHeight="1">
      <c r="A20" s="30"/>
      <c r="B20" s="44" t="s">
        <v>188</v>
      </c>
      <c r="C20" s="45"/>
      <c r="D20" s="26" t="s">
        <v>73</v>
      </c>
      <c r="E20" s="50">
        <f>'Pricelist Standard'!AD7</f>
        <v>7.0000000000000007E-2</v>
      </c>
      <c r="F20" s="548">
        <f>E20*F15</f>
        <v>623000.00000000012</v>
      </c>
      <c r="G20" s="549"/>
      <c r="H20" s="549"/>
      <c r="I20" s="550"/>
      <c r="J20" s="19"/>
      <c r="K20" s="504" t="str">
        <f t="shared" si="3"/>
        <v>3rd Equity Payment</v>
      </c>
      <c r="L20" s="505"/>
      <c r="M20" s="46">
        <f t="shared" ca="1" si="4"/>
        <v>45950</v>
      </c>
      <c r="N20" s="502">
        <f t="shared" si="2"/>
        <v>13317.1875</v>
      </c>
      <c r="O20" s="503"/>
      <c r="P20" s="504"/>
      <c r="Q20" s="505"/>
      <c r="S20" s="128">
        <f t="shared" ref="S20:S41" si="6">S19+1</f>
        <v>3</v>
      </c>
      <c r="T20" s="140" t="s">
        <v>186</v>
      </c>
      <c r="U20" s="46">
        <f t="shared" ca="1" si="5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8.75" customHeight="1">
      <c r="A21" s="32"/>
      <c r="B21" s="35"/>
      <c r="C21" s="20"/>
      <c r="D21" s="26"/>
      <c r="E21" s="17"/>
      <c r="F21" s="47"/>
      <c r="G21" s="47"/>
      <c r="H21" s="47"/>
      <c r="I21" s="47"/>
      <c r="J21" s="19"/>
      <c r="K21" s="504" t="str">
        <f t="shared" si="3"/>
        <v>4th Equity Payment</v>
      </c>
      <c r="L21" s="505"/>
      <c r="M21" s="46">
        <f t="shared" ca="1" si="4"/>
        <v>45981</v>
      </c>
      <c r="N21" s="502">
        <f t="shared" si="2"/>
        <v>13317.1875</v>
      </c>
      <c r="O21" s="503"/>
      <c r="P21" s="504"/>
      <c r="Q21" s="505"/>
      <c r="S21" s="128">
        <f t="shared" si="6"/>
        <v>4</v>
      </c>
      <c r="T21" s="140" t="s">
        <v>189</v>
      </c>
      <c r="U21" s="46">
        <f t="shared" ca="1" si="5"/>
        <v>45981</v>
      </c>
      <c r="Y21" s="136"/>
      <c r="AV21" s="1"/>
    </row>
    <row r="22" spans="1:48" ht="13.15" customHeight="1">
      <c r="A22" s="18"/>
      <c r="B22" s="44" t="s">
        <v>17</v>
      </c>
      <c r="C22" s="45"/>
      <c r="D22" s="17" t="s">
        <v>73</v>
      </c>
      <c r="E22" s="51"/>
      <c r="F22" s="476">
        <f>F17+F20</f>
        <v>9523000</v>
      </c>
      <c r="G22" s="477"/>
      <c r="H22" s="477"/>
      <c r="I22" s="478"/>
      <c r="J22" s="19"/>
      <c r="K22" s="504" t="str">
        <f t="shared" si="3"/>
        <v>5th Equity Payment</v>
      </c>
      <c r="L22" s="505"/>
      <c r="M22" s="46">
        <f t="shared" ca="1" si="4"/>
        <v>46011</v>
      </c>
      <c r="N22" s="502">
        <f t="shared" si="2"/>
        <v>13317.1875</v>
      </c>
      <c r="O22" s="503"/>
      <c r="P22" s="504"/>
      <c r="Q22" s="505"/>
      <c r="S22" s="128">
        <f t="shared" si="6"/>
        <v>5</v>
      </c>
      <c r="T22" s="140" t="s">
        <v>190</v>
      </c>
      <c r="U22" s="46">
        <f t="shared" ca="1" si="5"/>
        <v>46011</v>
      </c>
      <c r="AV22" s="1"/>
    </row>
    <row r="23" spans="1:48" ht="13.15" customHeight="1">
      <c r="A23" s="18"/>
      <c r="B23" s="35"/>
      <c r="C23" s="20"/>
      <c r="D23" s="26"/>
      <c r="E23" s="52"/>
      <c r="F23" s="155"/>
      <c r="G23" s="54"/>
      <c r="H23" s="54"/>
      <c r="I23" s="55"/>
      <c r="J23" s="19"/>
      <c r="K23" s="504" t="str">
        <f t="shared" si="3"/>
        <v>6th Equity Payment</v>
      </c>
      <c r="L23" s="505"/>
      <c r="M23" s="46">
        <f t="shared" ca="1" si="4"/>
        <v>46042</v>
      </c>
      <c r="N23" s="502">
        <f t="shared" si="2"/>
        <v>13317.1875</v>
      </c>
      <c r="O23" s="503"/>
      <c r="P23" s="504"/>
      <c r="Q23" s="505"/>
      <c r="S23" s="128">
        <f t="shared" si="6"/>
        <v>6</v>
      </c>
      <c r="T23" s="140" t="s">
        <v>191</v>
      </c>
      <c r="U23" s="46">
        <f t="shared" ca="1" si="5"/>
        <v>46042</v>
      </c>
      <c r="AV23" s="1"/>
    </row>
    <row r="24" spans="1:48" ht="15" customHeight="1">
      <c r="A24" s="18"/>
      <c r="B24" s="24" t="s">
        <v>262</v>
      </c>
      <c r="C24" s="25"/>
      <c r="D24" s="40" t="s">
        <v>73</v>
      </c>
      <c r="E24" s="56">
        <f>'Standard Computation'!E24</f>
        <v>0.05</v>
      </c>
      <c r="F24" s="476">
        <f>F22*E24</f>
        <v>476150</v>
      </c>
      <c r="G24" s="477"/>
      <c r="H24" s="477"/>
      <c r="I24" s="478"/>
      <c r="J24" s="19"/>
      <c r="K24" s="504" t="str">
        <f t="shared" si="3"/>
        <v>7th Equity Payment</v>
      </c>
      <c r="L24" s="505"/>
      <c r="M24" s="46">
        <f t="shared" ca="1" si="4"/>
        <v>46073</v>
      </c>
      <c r="N24" s="502">
        <f t="shared" si="2"/>
        <v>13317.1875</v>
      </c>
      <c r="O24" s="503"/>
      <c r="P24" s="127"/>
      <c r="Q24" s="128"/>
      <c r="S24" s="128">
        <f t="shared" si="6"/>
        <v>7</v>
      </c>
      <c r="T24" s="140" t="s">
        <v>192</v>
      </c>
      <c r="U24" s="46">
        <f t="shared" ca="1" si="5"/>
        <v>46073</v>
      </c>
      <c r="AV24" s="1"/>
    </row>
    <row r="25" spans="1:48" ht="13.15" customHeight="1">
      <c r="A25" s="18"/>
      <c r="B25" s="498" t="s">
        <v>197</v>
      </c>
      <c r="C25" s="498"/>
      <c r="D25" s="42" t="str">
        <f>D24</f>
        <v>:</v>
      </c>
      <c r="E25" s="57"/>
      <c r="F25" s="58">
        <f>FORM!E8</f>
        <v>50000</v>
      </c>
      <c r="G25" s="58"/>
      <c r="H25" s="499"/>
      <c r="I25" s="500"/>
      <c r="J25" s="19"/>
      <c r="K25" s="504" t="str">
        <f t="shared" si="3"/>
        <v>8th Equity Payment</v>
      </c>
      <c r="L25" s="505"/>
      <c r="M25" s="46">
        <f t="shared" ca="1" si="4"/>
        <v>46101</v>
      </c>
      <c r="N25" s="502">
        <f t="shared" si="2"/>
        <v>13317.1875</v>
      </c>
      <c r="O25" s="503"/>
      <c r="P25" s="127"/>
      <c r="Q25" s="128"/>
      <c r="S25" s="128">
        <f t="shared" si="6"/>
        <v>8</v>
      </c>
      <c r="T25" s="140" t="s">
        <v>194</v>
      </c>
      <c r="U25" s="46">
        <f t="shared" ca="1" si="5"/>
        <v>46101</v>
      </c>
      <c r="AV25" s="1"/>
    </row>
    <row r="26" spans="1:48" ht="13.15" customHeight="1">
      <c r="A26" s="18"/>
      <c r="B26" s="44" t="s">
        <v>199</v>
      </c>
      <c r="C26" s="45"/>
      <c r="D26" s="17" t="s">
        <v>73</v>
      </c>
      <c r="E26" s="59"/>
      <c r="F26" s="476">
        <f>F24-F25</f>
        <v>426150</v>
      </c>
      <c r="G26" s="477"/>
      <c r="H26" s="477"/>
      <c r="I26" s="478"/>
      <c r="J26" s="19"/>
      <c r="K26" s="504" t="str">
        <f t="shared" si="3"/>
        <v>9th Equity Payment</v>
      </c>
      <c r="L26" s="505"/>
      <c r="M26" s="46">
        <f t="shared" ca="1" si="4"/>
        <v>46132</v>
      </c>
      <c r="N26" s="502">
        <f t="shared" si="2"/>
        <v>18644.0625</v>
      </c>
      <c r="O26" s="503"/>
      <c r="P26" s="127"/>
      <c r="Q26" s="128"/>
      <c r="S26" s="128">
        <f t="shared" si="6"/>
        <v>9</v>
      </c>
      <c r="T26" s="140" t="s">
        <v>196</v>
      </c>
      <c r="U26" s="46">
        <f t="shared" ca="1" si="5"/>
        <v>46132</v>
      </c>
      <c r="AV26" s="1"/>
    </row>
    <row r="27" spans="1:48" ht="13.15" customHeight="1">
      <c r="A27" s="18"/>
      <c r="B27"/>
      <c r="C27"/>
      <c r="D27"/>
      <c r="E27" s="303">
        <f>'Standard Computation'!E29</f>
        <v>24</v>
      </c>
      <c r="F27"/>
      <c r="G27"/>
      <c r="H27"/>
      <c r="I27"/>
      <c r="J27" s="19"/>
      <c r="K27" s="504" t="str">
        <f t="shared" si="3"/>
        <v>10th Equity Payment</v>
      </c>
      <c r="L27" s="505"/>
      <c r="M27" s="46">
        <f t="shared" ca="1" si="4"/>
        <v>46162</v>
      </c>
      <c r="N27" s="502">
        <f t="shared" si="2"/>
        <v>18644.0625</v>
      </c>
      <c r="O27" s="503"/>
      <c r="P27" s="127"/>
      <c r="Q27" s="128"/>
      <c r="S27" s="128">
        <f t="shared" si="6"/>
        <v>10</v>
      </c>
      <c r="T27" s="140" t="s">
        <v>198</v>
      </c>
      <c r="U27" s="46">
        <f t="shared" ca="1" si="5"/>
        <v>46162</v>
      </c>
      <c r="AV27" s="1"/>
    </row>
    <row r="28" spans="1:48" ht="13.15" customHeight="1">
      <c r="A28" s="18"/>
      <c r="B28" s="296" t="s">
        <v>279</v>
      </c>
      <c r="C28" s="297" t="str">
        <f>(SUM(F29:F31))&amp;" "&amp;"MONTHS"</f>
        <v>24 MONTHS</v>
      </c>
      <c r="D28" s="17"/>
      <c r="E28" s="299" t="s">
        <v>280</v>
      </c>
      <c r="F28" s="300" t="s">
        <v>281</v>
      </c>
      <c r="G28" s="559" t="s">
        <v>282</v>
      </c>
      <c r="H28" s="559"/>
      <c r="I28" s="559"/>
      <c r="J28" s="19"/>
      <c r="K28" s="504" t="str">
        <f t="shared" si="3"/>
        <v>11th Equity Payment</v>
      </c>
      <c r="L28" s="505"/>
      <c r="M28" s="46">
        <f t="shared" ca="1" si="4"/>
        <v>46193</v>
      </c>
      <c r="N28" s="502">
        <f t="shared" si="2"/>
        <v>18644.0625</v>
      </c>
      <c r="O28" s="503"/>
      <c r="P28" s="127"/>
      <c r="Q28" s="128"/>
      <c r="S28" s="128">
        <f t="shared" si="6"/>
        <v>11</v>
      </c>
      <c r="T28" s="140" t="s">
        <v>200</v>
      </c>
      <c r="U28" s="46">
        <f t="shared" ca="1" si="5"/>
        <v>46193</v>
      </c>
      <c r="AV28" s="1"/>
    </row>
    <row r="29" spans="1:48" ht="15.75">
      <c r="A29" s="18"/>
      <c r="B29" s="298" t="s">
        <v>283</v>
      </c>
      <c r="C29" s="298" t="str">
        <f>FORM!D26</f>
        <v>1st to 8th</v>
      </c>
      <c r="D29" s="17" t="s">
        <v>73</v>
      </c>
      <c r="E29" s="301">
        <f>FORM!H26</f>
        <v>0.25</v>
      </c>
      <c r="F29" s="302">
        <f>FORM!F26</f>
        <v>8</v>
      </c>
      <c r="G29" s="560">
        <f>F26*E29/F29</f>
        <v>13317.1875</v>
      </c>
      <c r="H29" s="560"/>
      <c r="I29" s="560"/>
      <c r="J29" s="19"/>
      <c r="K29" s="504" t="str">
        <f t="shared" si="3"/>
        <v>12th Equity Payment</v>
      </c>
      <c r="L29" s="505"/>
      <c r="M29" s="46">
        <f t="shared" ca="1" si="4"/>
        <v>46223</v>
      </c>
      <c r="N29" s="502">
        <f t="shared" si="2"/>
        <v>18644.0625</v>
      </c>
      <c r="O29" s="503"/>
      <c r="P29" s="127"/>
      <c r="Q29" s="128"/>
      <c r="S29" s="128">
        <f t="shared" si="6"/>
        <v>12</v>
      </c>
      <c r="T29" s="140" t="s">
        <v>201</v>
      </c>
      <c r="U29" s="46">
        <f t="shared" ca="1" si="5"/>
        <v>46223</v>
      </c>
      <c r="AV29" s="1"/>
    </row>
    <row r="30" spans="1:48" ht="15.75">
      <c r="A30" s="18"/>
      <c r="B30" s="298" t="s">
        <v>284</v>
      </c>
      <c r="C30" s="298" t="str">
        <f>FORM!D27</f>
        <v>9th to 16th</v>
      </c>
      <c r="D30" s="17" t="s">
        <v>73</v>
      </c>
      <c r="E30" s="301">
        <f>FORM!H27</f>
        <v>0.35</v>
      </c>
      <c r="F30" s="302">
        <f>FORM!F27</f>
        <v>8</v>
      </c>
      <c r="G30" s="560">
        <f>F26*E30/F30</f>
        <v>18644.0625</v>
      </c>
      <c r="H30" s="560"/>
      <c r="I30" s="560"/>
      <c r="J30" s="19"/>
      <c r="K30" s="504" t="str">
        <f t="shared" si="3"/>
        <v>13th Equity Payment</v>
      </c>
      <c r="L30" s="505"/>
      <c r="M30" s="46">
        <f t="shared" ca="1" si="4"/>
        <v>46254</v>
      </c>
      <c r="N30" s="502">
        <f t="shared" si="2"/>
        <v>18644.0625</v>
      </c>
      <c r="O30" s="503"/>
      <c r="P30" s="127"/>
      <c r="Q30" s="128"/>
      <c r="S30" s="128">
        <f t="shared" si="6"/>
        <v>13</v>
      </c>
      <c r="T30" s="140" t="s">
        <v>264</v>
      </c>
      <c r="U30" s="46">
        <f t="shared" ca="1" si="5"/>
        <v>46254</v>
      </c>
      <c r="AV30" s="1"/>
    </row>
    <row r="31" spans="1:48" ht="15.75">
      <c r="A31" s="18"/>
      <c r="B31" s="298" t="s">
        <v>285</v>
      </c>
      <c r="C31" s="298" t="str">
        <f>FORM!D28</f>
        <v>17th to 24th</v>
      </c>
      <c r="D31" s="17" t="s">
        <v>73</v>
      </c>
      <c r="E31" s="301">
        <f>FORM!H28</f>
        <v>0.4</v>
      </c>
      <c r="F31" s="302">
        <f>FORM!F28</f>
        <v>8</v>
      </c>
      <c r="G31" s="560">
        <f>F26*E31/F31</f>
        <v>21307.5</v>
      </c>
      <c r="H31" s="560"/>
      <c r="I31" s="560"/>
      <c r="J31" s="19"/>
      <c r="K31" s="504" t="str">
        <f t="shared" si="3"/>
        <v>14th Equity Payment</v>
      </c>
      <c r="L31" s="505"/>
      <c r="M31" s="46">
        <f t="shared" ca="1" si="4"/>
        <v>46285</v>
      </c>
      <c r="N31" s="502">
        <f t="shared" si="2"/>
        <v>18644.0625</v>
      </c>
      <c r="O31" s="503"/>
      <c r="P31" s="127"/>
      <c r="Q31" s="128"/>
      <c r="S31" s="128">
        <f t="shared" si="6"/>
        <v>14</v>
      </c>
      <c r="T31" s="140" t="s">
        <v>265</v>
      </c>
      <c r="U31" s="46">
        <f t="shared" ca="1" si="5"/>
        <v>46285</v>
      </c>
      <c r="AV31" s="1"/>
    </row>
    <row r="32" spans="1:48">
      <c r="A32" s="18"/>
      <c r="B32"/>
      <c r="C32"/>
      <c r="D32"/>
      <c r="E32"/>
      <c r="F32"/>
      <c r="G32"/>
      <c r="H32"/>
      <c r="I32"/>
      <c r="J32" s="19"/>
      <c r="K32" s="504" t="str">
        <f t="shared" si="3"/>
        <v>15th Equity Payment</v>
      </c>
      <c r="L32" s="505"/>
      <c r="M32" s="46">
        <f t="shared" ca="1" si="4"/>
        <v>46315</v>
      </c>
      <c r="N32" s="502">
        <f t="shared" si="2"/>
        <v>18644.0625</v>
      </c>
      <c r="O32" s="503"/>
      <c r="P32" s="127"/>
      <c r="Q32" s="128"/>
      <c r="S32" s="128">
        <f t="shared" si="6"/>
        <v>15</v>
      </c>
      <c r="T32" s="140" t="s">
        <v>266</v>
      </c>
      <c r="U32" s="46">
        <f t="shared" ca="1" si="5"/>
        <v>46315</v>
      </c>
      <c r="AV32" s="1"/>
    </row>
    <row r="33" spans="1:48">
      <c r="A33" s="18"/>
      <c r="B33" s="44" t="s">
        <v>207</v>
      </c>
      <c r="C33" s="44"/>
      <c r="D33" s="17" t="s">
        <v>73</v>
      </c>
      <c r="E33" s="67">
        <f>100%-E24</f>
        <v>0.95</v>
      </c>
      <c r="F33" s="476">
        <f>F22*E33</f>
        <v>9046850</v>
      </c>
      <c r="G33" s="477"/>
      <c r="H33" s="477"/>
      <c r="I33" s="478"/>
      <c r="J33" s="19"/>
      <c r="K33" s="504" t="str">
        <f t="shared" si="3"/>
        <v>16th Equity Payment</v>
      </c>
      <c r="L33" s="505"/>
      <c r="M33" s="46">
        <f t="shared" ca="1" si="4"/>
        <v>46346</v>
      </c>
      <c r="N33" s="502">
        <f t="shared" si="2"/>
        <v>18644.0625</v>
      </c>
      <c r="O33" s="503"/>
      <c r="P33" s="127"/>
      <c r="Q33" s="128"/>
      <c r="S33" s="128">
        <f t="shared" si="6"/>
        <v>16</v>
      </c>
      <c r="T33" s="140" t="s">
        <v>267</v>
      </c>
      <c r="U33" s="46">
        <f t="shared" ca="1" si="5"/>
        <v>46346</v>
      </c>
      <c r="AV33" s="1"/>
    </row>
    <row r="34" spans="1:48">
      <c r="A34" s="18"/>
      <c r="B34" s="20"/>
      <c r="C34" s="35"/>
      <c r="D34" s="65"/>
      <c r="E34" s="65"/>
      <c r="F34" s="65"/>
      <c r="G34" s="70"/>
      <c r="H34" s="70"/>
      <c r="I34" s="70"/>
      <c r="J34" s="17"/>
      <c r="K34" s="504" t="str">
        <f t="shared" si="3"/>
        <v>17th Equity Payment</v>
      </c>
      <c r="L34" s="505"/>
      <c r="M34" s="46">
        <f t="shared" ca="1" si="4"/>
        <v>46376</v>
      </c>
      <c r="N34" s="502">
        <f t="shared" si="2"/>
        <v>21307.5</v>
      </c>
      <c r="O34" s="503"/>
      <c r="P34" s="127"/>
      <c r="Q34" s="128"/>
      <c r="S34" s="128">
        <f t="shared" si="6"/>
        <v>17</v>
      </c>
      <c r="T34" s="140" t="s">
        <v>268</v>
      </c>
      <c r="U34" s="46">
        <f t="shared" ca="1" si="5"/>
        <v>46376</v>
      </c>
      <c r="AV34" s="1"/>
    </row>
    <row r="35" spans="1:48">
      <c r="A35" s="18"/>
      <c r="B35" s="45" t="s">
        <v>210</v>
      </c>
      <c r="C35" s="44"/>
      <c r="D35" s="71"/>
      <c r="E35" s="72"/>
      <c r="F35" s="73"/>
      <c r="G35" s="70"/>
      <c r="H35" s="70"/>
      <c r="I35" s="70"/>
      <c r="J35" s="17"/>
      <c r="K35" s="504" t="str">
        <f t="shared" si="3"/>
        <v>18th Equity Payment</v>
      </c>
      <c r="L35" s="505"/>
      <c r="M35" s="46">
        <f t="shared" ca="1" si="4"/>
        <v>46407</v>
      </c>
      <c r="N35" s="502">
        <f t="shared" si="2"/>
        <v>21307.5</v>
      </c>
      <c r="O35" s="503"/>
      <c r="P35" s="127"/>
      <c r="Q35" s="128"/>
      <c r="S35" s="128">
        <f t="shared" si="6"/>
        <v>18</v>
      </c>
      <c r="T35" s="140" t="s">
        <v>269</v>
      </c>
      <c r="U35" s="46">
        <f t="shared" ca="1" si="5"/>
        <v>46407</v>
      </c>
      <c r="AV35" s="1"/>
    </row>
    <row r="36" spans="1:48">
      <c r="A36" s="18"/>
      <c r="B36" s="18"/>
      <c r="C36" s="74"/>
      <c r="D36" s="74"/>
      <c r="E36" s="75"/>
      <c r="F36" s="71"/>
      <c r="G36" s="71"/>
      <c r="H36" s="71"/>
      <c r="I36" s="71"/>
      <c r="J36" s="74"/>
      <c r="K36" s="504" t="str">
        <f t="shared" si="3"/>
        <v>19th Equity Payment</v>
      </c>
      <c r="L36" s="505"/>
      <c r="M36" s="46">
        <f t="shared" ca="1" si="4"/>
        <v>46438</v>
      </c>
      <c r="N36" s="502">
        <f>IF(S36=0,0,IF(S36&lt;=$F$29,$G$29,IF(S36&lt;=($F$30+$F$29),$G$30,IF(S36&lt;=($F$30+$F$29+$F$31),$G$31,""))))</f>
        <v>21307.5</v>
      </c>
      <c r="O36" s="503"/>
      <c r="P36" s="127"/>
      <c r="Q36" s="128"/>
      <c r="S36" s="128">
        <f t="shared" si="6"/>
        <v>19</v>
      </c>
      <c r="T36" s="140" t="s">
        <v>270</v>
      </c>
      <c r="U36" s="46">
        <f t="shared" ca="1" si="5"/>
        <v>46438</v>
      </c>
      <c r="AV36" s="1"/>
    </row>
    <row r="37" spans="1:48">
      <c r="A37" s="18"/>
      <c r="B37" s="76" t="s">
        <v>213</v>
      </c>
      <c r="C37" s="76" t="s">
        <v>214</v>
      </c>
      <c r="D37" s="76" t="s">
        <v>215</v>
      </c>
      <c r="E37" s="76" t="s">
        <v>216</v>
      </c>
      <c r="F37" s="489" t="s">
        <v>217</v>
      </c>
      <c r="G37" s="489"/>
      <c r="H37" s="489"/>
      <c r="I37" s="489"/>
      <c r="J37" s="19"/>
      <c r="K37" s="504" t="str">
        <f t="shared" si="3"/>
        <v>20th Equity Payment</v>
      </c>
      <c r="L37" s="505"/>
      <c r="M37" s="46">
        <f t="shared" ca="1" si="4"/>
        <v>46466</v>
      </c>
      <c r="N37" s="502">
        <f t="shared" ref="N37:N41" si="7">IF(S37=0,0,IF(S37&lt;=$F$29,$G$29,IF(S37&lt;=($F$30+$F$29),$G$30,IF(S37&lt;=($F$30+$F$29+$F$31),$G$31,""))))</f>
        <v>21307.5</v>
      </c>
      <c r="O37" s="503"/>
      <c r="P37" s="127"/>
      <c r="Q37" s="128"/>
      <c r="S37" s="128">
        <f t="shared" si="6"/>
        <v>20</v>
      </c>
      <c r="T37" s="140" t="s">
        <v>271</v>
      </c>
      <c r="U37" s="46">
        <f t="shared" ca="1" si="5"/>
        <v>46466</v>
      </c>
      <c r="AV37" s="1"/>
    </row>
    <row r="38" spans="1:48">
      <c r="A38" s="18"/>
      <c r="B38" s="77">
        <v>5</v>
      </c>
      <c r="C38" s="78">
        <v>7.0000000000000007E-2</v>
      </c>
      <c r="D38" s="79">
        <f>PMT(C38/12,B38*12,-1)</f>
        <v>1.9801198540349535E-2</v>
      </c>
      <c r="E38" s="80">
        <f>F33*D38</f>
        <v>179138.4730147612</v>
      </c>
      <c r="F38" s="490">
        <f>E38/0.33</f>
        <v>542843.8576204885</v>
      </c>
      <c r="G38" s="490"/>
      <c r="H38" s="490"/>
      <c r="I38" s="490"/>
      <c r="J38" s="19"/>
      <c r="K38" s="504" t="str">
        <f t="shared" si="3"/>
        <v>21st Equity Payment</v>
      </c>
      <c r="L38" s="505"/>
      <c r="M38" s="46">
        <f t="shared" ca="1" si="4"/>
        <v>46497</v>
      </c>
      <c r="N38" s="502">
        <f t="shared" si="7"/>
        <v>21307.5</v>
      </c>
      <c r="O38" s="503"/>
      <c r="P38" s="127"/>
      <c r="Q38" s="128"/>
      <c r="S38" s="128">
        <f t="shared" si="6"/>
        <v>21</v>
      </c>
      <c r="T38" s="140" t="s">
        <v>272</v>
      </c>
      <c r="U38" s="46">
        <f t="shared" ca="1" si="5"/>
        <v>46497</v>
      </c>
      <c r="AV38" s="1"/>
    </row>
    <row r="39" spans="1:48">
      <c r="A39" s="18"/>
      <c r="B39" s="77">
        <v>10</v>
      </c>
      <c r="C39" s="78">
        <f>C38</f>
        <v>7.0000000000000007E-2</v>
      </c>
      <c r="D39" s="79">
        <f>PMT(C39/12,B39*12,-1)</f>
        <v>1.1610847921862406E-2</v>
      </c>
      <c r="E39" s="80">
        <f>F33*D39</f>
        <v>105041.59952190091</v>
      </c>
      <c r="F39" s="490">
        <f>E39/0.33</f>
        <v>318307.87733909365</v>
      </c>
      <c r="G39" s="490"/>
      <c r="H39" s="490"/>
      <c r="I39" s="490"/>
      <c r="J39" s="19"/>
      <c r="K39" s="504" t="str">
        <f t="shared" si="3"/>
        <v>22nd Equity Payment</v>
      </c>
      <c r="L39" s="505"/>
      <c r="M39" s="46">
        <f t="shared" ca="1" si="4"/>
        <v>46527</v>
      </c>
      <c r="N39" s="502">
        <f t="shared" si="7"/>
        <v>21307.5</v>
      </c>
      <c r="O39" s="503"/>
      <c r="P39" s="494"/>
      <c r="Q39" s="495"/>
      <c r="S39" s="128">
        <f t="shared" si="6"/>
        <v>22</v>
      </c>
      <c r="T39" s="140" t="s">
        <v>273</v>
      </c>
      <c r="U39" s="46">
        <f t="shared" ca="1" si="5"/>
        <v>46527</v>
      </c>
      <c r="AV39" s="1"/>
    </row>
    <row r="40" spans="1:48">
      <c r="A40" s="18"/>
      <c r="B40" s="77">
        <v>15</v>
      </c>
      <c r="C40" s="78">
        <f>C38</f>
        <v>7.0000000000000007E-2</v>
      </c>
      <c r="D40" s="79">
        <f t="shared" ref="D40:D41" si="8">PMT(C40/12,B40*12,-1)</f>
        <v>8.988282708524269E-3</v>
      </c>
      <c r="E40" s="80">
        <f>F33*D40</f>
        <v>81315.64542161279</v>
      </c>
      <c r="F40" s="490">
        <f>E40/0.33</f>
        <v>246411.04673215994</v>
      </c>
      <c r="G40" s="490"/>
      <c r="H40" s="490"/>
      <c r="I40" s="490"/>
      <c r="J40" s="19"/>
      <c r="K40" s="504" t="str">
        <f t="shared" si="3"/>
        <v>23rd Equity Payment</v>
      </c>
      <c r="L40" s="505"/>
      <c r="M40" s="46">
        <f t="shared" ca="1" si="4"/>
        <v>46558</v>
      </c>
      <c r="N40" s="502">
        <f t="shared" si="7"/>
        <v>21307.5</v>
      </c>
      <c r="O40" s="503"/>
      <c r="P40" s="153"/>
      <c r="Q40" s="154"/>
      <c r="S40" s="128">
        <f t="shared" si="6"/>
        <v>23</v>
      </c>
      <c r="T40" s="140" t="s">
        <v>274</v>
      </c>
      <c r="U40" s="46">
        <f t="shared" ca="1" si="5"/>
        <v>46558</v>
      </c>
      <c r="AV40" s="1"/>
    </row>
    <row r="41" spans="1:48">
      <c r="A41" s="18"/>
      <c r="B41" s="77">
        <v>20</v>
      </c>
      <c r="C41" s="78">
        <f>C40</f>
        <v>7.0000000000000007E-2</v>
      </c>
      <c r="D41" s="79">
        <f t="shared" si="8"/>
        <v>7.7529893561887461E-3</v>
      </c>
      <c r="E41" s="80">
        <f>F33*D41</f>
        <v>70140.131757036157</v>
      </c>
      <c r="F41" s="490">
        <f>E41/0.33</f>
        <v>212545.85380920046</v>
      </c>
      <c r="G41" s="490"/>
      <c r="H41" s="490"/>
      <c r="I41" s="490"/>
      <c r="J41" s="19"/>
      <c r="K41" s="504" t="str">
        <f t="shared" si="3"/>
        <v>24th Equity Payment</v>
      </c>
      <c r="L41" s="505"/>
      <c r="M41" s="46">
        <f t="shared" ca="1" si="4"/>
        <v>46588</v>
      </c>
      <c r="N41" s="502">
        <f t="shared" si="7"/>
        <v>21307.5</v>
      </c>
      <c r="O41" s="503"/>
      <c r="P41" s="153"/>
      <c r="Q41" s="154"/>
      <c r="S41" s="128">
        <f t="shared" si="6"/>
        <v>24</v>
      </c>
      <c r="T41" s="140" t="s">
        <v>275</v>
      </c>
      <c r="U41" s="46">
        <f t="shared" ca="1" si="5"/>
        <v>46588</v>
      </c>
      <c r="AV41" s="1"/>
    </row>
    <row r="42" spans="1:48">
      <c r="A42" s="18"/>
      <c r="B42" s="81" t="s">
        <v>226</v>
      </c>
      <c r="C42" s="82"/>
      <c r="D42" s="83"/>
      <c r="E42" s="129"/>
      <c r="F42" s="130"/>
      <c r="G42" s="130"/>
      <c r="H42" s="130"/>
      <c r="I42" s="130"/>
      <c r="J42" s="19"/>
      <c r="K42" s="492" t="s">
        <v>203</v>
      </c>
      <c r="L42" s="492"/>
      <c r="M42" s="66">
        <f ca="1">Y19</f>
        <v>46619</v>
      </c>
      <c r="N42" s="554">
        <f>F33</f>
        <v>9046850</v>
      </c>
      <c r="O42" s="554"/>
      <c r="P42" s="494"/>
      <c r="Q42" s="495"/>
      <c r="S42" s="18"/>
      <c r="T42" s="123"/>
      <c r="U42" s="46"/>
      <c r="AV42" s="1"/>
    </row>
    <row r="43" spans="1:48">
      <c r="A43" s="18"/>
      <c r="B43" s="81" t="s">
        <v>227</v>
      </c>
      <c r="C43" s="82"/>
      <c r="D43" s="83"/>
      <c r="E43" s="129"/>
      <c r="F43" s="130"/>
      <c r="G43" s="130"/>
      <c r="H43" s="130"/>
      <c r="I43" s="130"/>
      <c r="J43" s="19"/>
      <c r="K43" s="17"/>
      <c r="L43" s="17"/>
      <c r="M43" s="68"/>
      <c r="N43" s="295"/>
      <c r="O43" s="295"/>
      <c r="P43" s="122"/>
      <c r="Q43" s="122"/>
      <c r="S43" s="126"/>
      <c r="T43" s="123"/>
      <c r="U43" s="46"/>
      <c r="AV43" s="1"/>
    </row>
    <row r="44" spans="1:48">
      <c r="A44" s="18"/>
      <c r="B44" s="91" t="s">
        <v>228</v>
      </c>
      <c r="C44" s="82"/>
      <c r="D44" s="83"/>
      <c r="E44" s="129"/>
      <c r="F44" s="130"/>
      <c r="G44" s="130"/>
      <c r="H44" s="130"/>
      <c r="I44" s="130"/>
      <c r="J44" s="19"/>
      <c r="N44" s="555"/>
      <c r="O44" s="555"/>
      <c r="S44" s="71"/>
      <c r="T44" s="123"/>
      <c r="U44" s="46"/>
      <c r="AV44" s="1"/>
    </row>
    <row r="45" spans="1:48">
      <c r="A45" s="18"/>
      <c r="B45" s="91" t="s">
        <v>229</v>
      </c>
      <c r="C45" s="82"/>
      <c r="D45" s="83"/>
      <c r="E45" s="129"/>
      <c r="F45" s="130"/>
      <c r="G45" s="130"/>
      <c r="H45" s="130"/>
      <c r="I45" s="130"/>
      <c r="J45" s="19"/>
      <c r="K45" s="19" t="s">
        <v>218</v>
      </c>
      <c r="L45" s="18"/>
      <c r="M45" s="18"/>
      <c r="N45" s="18"/>
      <c r="O45" s="19" t="s">
        <v>219</v>
      </c>
      <c r="P45" s="18"/>
      <c r="Q45" s="18"/>
      <c r="S45" s="90"/>
      <c r="T45" s="123"/>
      <c r="U45" s="46"/>
      <c r="AV45" s="1"/>
    </row>
    <row r="46" spans="1:48" hidden="1">
      <c r="A46" s="18"/>
      <c r="B46" s="26"/>
      <c r="C46" s="82"/>
      <c r="D46" s="83"/>
      <c r="E46" s="129"/>
      <c r="F46" s="130"/>
      <c r="G46" s="130"/>
      <c r="H46" s="130"/>
      <c r="I46" s="130"/>
      <c r="J46" s="19"/>
      <c r="K46" s="86"/>
      <c r="L46" s="18"/>
      <c r="M46" s="26"/>
      <c r="N46" s="18"/>
      <c r="O46" s="18"/>
      <c r="P46" s="18"/>
      <c r="Q46" s="18"/>
      <c r="S46" s="18"/>
      <c r="T46" s="123"/>
      <c r="U46" s="46"/>
      <c r="AV46" s="1"/>
    </row>
    <row r="47" spans="1:48" hidden="1">
      <c r="A47" s="18"/>
      <c r="B47" s="19" t="s">
        <v>230</v>
      </c>
      <c r="C47" s="82"/>
      <c r="D47" s="83"/>
      <c r="E47" s="129"/>
      <c r="J47" s="19"/>
      <c r="K47" s="18"/>
      <c r="L47" s="18"/>
      <c r="M47" s="26"/>
      <c r="N47" s="18"/>
      <c r="O47" s="18"/>
      <c r="P47" s="18"/>
      <c r="Q47" s="18"/>
      <c r="S47" s="18"/>
      <c r="T47" s="123"/>
      <c r="U47" s="46"/>
      <c r="AV47" s="1"/>
    </row>
    <row r="48" spans="1:48">
      <c r="A48" s="18"/>
      <c r="B48" s="76" t="s">
        <v>213</v>
      </c>
      <c r="C48" s="76" t="s">
        <v>214</v>
      </c>
      <c r="D48" s="76" t="s">
        <v>215</v>
      </c>
      <c r="E48" s="76" t="s">
        <v>231</v>
      </c>
      <c r="F48" s="489" t="s">
        <v>217</v>
      </c>
      <c r="G48" s="489"/>
      <c r="H48" s="489"/>
      <c r="I48" s="489"/>
      <c r="J48" s="19"/>
      <c r="K48" s="491" t="str">
        <f>FORM!E20</f>
        <v>SELLER The Aguirre Townhouse Las Piñas</v>
      </c>
      <c r="L48" s="491"/>
      <c r="M48" s="491"/>
      <c r="N48" s="19"/>
      <c r="O48" s="491" t="str">
        <f>FORM!E16</f>
        <v>BUYER The Aguirre Townhouse Las Piñas</v>
      </c>
      <c r="P48" s="491"/>
      <c r="Q48" s="491"/>
      <c r="S48" s="18"/>
      <c r="T48" s="123"/>
      <c r="U48" s="46"/>
      <c r="AV48" s="1"/>
    </row>
    <row r="49" spans="1:48">
      <c r="A49" s="18"/>
      <c r="B49" s="78" t="s">
        <v>257</v>
      </c>
      <c r="C49" s="131">
        <v>0.16</v>
      </c>
      <c r="D49" s="79">
        <f>'Pricelist Standard'!AQ6</f>
        <v>2.4318057116359135E-2</v>
      </c>
      <c r="E49" s="80">
        <f>F33*D49</f>
        <v>220001.81502313365</v>
      </c>
      <c r="F49" s="490">
        <f>E49/0.33</f>
        <v>666672.16673676856</v>
      </c>
      <c r="G49" s="490"/>
      <c r="H49" s="490"/>
      <c r="I49" s="490"/>
      <c r="J49" s="19"/>
      <c r="K49" s="86" t="s">
        <v>224</v>
      </c>
      <c r="L49" s="487"/>
      <c r="M49" s="487"/>
      <c r="N49" s="18"/>
      <c r="O49" s="488" t="s">
        <v>225</v>
      </c>
      <c r="P49" s="488"/>
      <c r="Q49" s="488"/>
      <c r="S49" s="18"/>
      <c r="T49" s="123"/>
      <c r="U49" s="46"/>
      <c r="AV49" s="1"/>
    </row>
    <row r="50" spans="1:48" hidden="1">
      <c r="A50" s="18"/>
      <c r="B50" s="78" t="s">
        <v>233</v>
      </c>
      <c r="C50" s="131">
        <v>0.18</v>
      </c>
      <c r="D50" s="79">
        <f>'Pricelist Standard'!AU6</f>
        <v>1.801851990409967E-2</v>
      </c>
      <c r="E50" s="80">
        <f>F33*D50</f>
        <v>163010.84679440409</v>
      </c>
      <c r="F50" s="490">
        <f>E50/0.33</f>
        <v>493972.26301334571</v>
      </c>
      <c r="G50" s="490"/>
      <c r="H50" s="490"/>
      <c r="I50" s="490"/>
      <c r="J50" s="19"/>
      <c r="K50" s="89"/>
      <c r="L50" s="89"/>
      <c r="M50" s="89"/>
      <c r="N50" s="89"/>
      <c r="O50" s="89"/>
      <c r="P50" s="90"/>
      <c r="Q50" s="90"/>
      <c r="S50" s="18"/>
      <c r="T50" s="123"/>
      <c r="U50" s="46"/>
      <c r="AV50" s="1"/>
    </row>
    <row r="51" spans="1:48">
      <c r="A51" s="18"/>
      <c r="B51" s="91" t="s">
        <v>228</v>
      </c>
      <c r="C51" s="82"/>
      <c r="D51" s="83"/>
      <c r="E51" s="129"/>
      <c r="F51" s="130"/>
      <c r="G51" s="130"/>
      <c r="H51" s="130"/>
      <c r="I51" s="130"/>
      <c r="J51" s="19"/>
      <c r="K51" s="92"/>
      <c r="L51" s="18"/>
      <c r="M51" s="39"/>
      <c r="N51" s="18"/>
      <c r="O51" s="18"/>
      <c r="P51" s="18"/>
      <c r="Q51" s="18"/>
      <c r="S51" s="18"/>
      <c r="T51" s="123" t="s">
        <v>234</v>
      </c>
      <c r="U51" s="46"/>
      <c r="AL51" s="87">
        <v>3128865.99</v>
      </c>
      <c r="AV51" s="1"/>
    </row>
    <row r="52" spans="1:48">
      <c r="A52" s="18"/>
      <c r="C52" s="82"/>
      <c r="D52" s="83"/>
      <c r="E52" s="84"/>
      <c r="F52" s="486"/>
      <c r="G52" s="486"/>
      <c r="H52" s="85"/>
      <c r="I52" s="18"/>
      <c r="J52" s="19"/>
      <c r="K52" s="92"/>
      <c r="L52" s="18"/>
      <c r="M52" s="39"/>
      <c r="N52" s="18"/>
      <c r="O52" s="18"/>
      <c r="P52" s="18"/>
      <c r="Q52" s="18"/>
      <c r="S52" s="18"/>
      <c r="T52" s="123" t="s">
        <v>235</v>
      </c>
      <c r="U52" s="46"/>
      <c r="AV52" s="1"/>
    </row>
    <row r="53" spans="1:48">
      <c r="A53" s="18"/>
      <c r="C53" s="88"/>
      <c r="D53" s="26"/>
      <c r="E53" s="18"/>
      <c r="F53" s="18"/>
      <c r="G53" s="18"/>
      <c r="H53" s="18"/>
      <c r="I53" s="18"/>
      <c r="J53" s="19"/>
      <c r="K53" s="92"/>
      <c r="L53" s="18"/>
      <c r="M53" s="39"/>
      <c r="N53" s="18"/>
      <c r="O53" s="18"/>
      <c r="P53" s="18"/>
      <c r="Q53" s="18"/>
      <c r="S53" s="18"/>
      <c r="T53" s="123" t="s">
        <v>236</v>
      </c>
      <c r="U53" s="46"/>
      <c r="AV53" s="1"/>
    </row>
    <row r="54" spans="1:48">
      <c r="A54" s="18"/>
      <c r="C54" s="18"/>
      <c r="D54" s="26"/>
      <c r="E54" s="18"/>
      <c r="F54" s="18"/>
      <c r="G54" s="18"/>
      <c r="H54" s="18"/>
      <c r="I54" s="18"/>
      <c r="J54" s="17"/>
      <c r="K54" s="92"/>
      <c r="L54" s="18"/>
      <c r="M54" s="39"/>
      <c r="N54" s="18"/>
      <c r="O54" s="18"/>
      <c r="P54" s="18"/>
      <c r="Q54" s="18"/>
      <c r="S54" s="18"/>
      <c r="T54" s="123" t="s">
        <v>237</v>
      </c>
      <c r="U54" s="46"/>
      <c r="AV54" s="1"/>
    </row>
    <row r="55" spans="1:48">
      <c r="A55" s="18"/>
      <c r="C55" s="88"/>
      <c r="D55" s="26"/>
      <c r="E55" s="18"/>
      <c r="F55" s="18"/>
      <c r="G55" s="18"/>
      <c r="H55" s="18"/>
      <c r="I55" s="18"/>
      <c r="J55" s="26"/>
      <c r="K55" s="92"/>
      <c r="L55" s="18"/>
      <c r="M55" s="39"/>
      <c r="N55" s="18"/>
      <c r="O55" s="18"/>
      <c r="P55" s="18"/>
      <c r="Q55" s="18"/>
      <c r="S55" s="18"/>
      <c r="T55" s="123" t="s">
        <v>238</v>
      </c>
      <c r="U55" s="46"/>
      <c r="AV55" s="1"/>
    </row>
    <row r="56" spans="1:48">
      <c r="A56" s="18"/>
      <c r="B56" s="93"/>
      <c r="C56" s="18"/>
      <c r="D56" s="18"/>
      <c r="E56" s="18"/>
      <c r="F56" s="18"/>
      <c r="G56" s="18"/>
      <c r="H56" s="18"/>
      <c r="I56" s="18"/>
      <c r="J56" s="26"/>
      <c r="K56" s="92"/>
      <c r="L56" s="18"/>
      <c r="M56" s="39"/>
      <c r="N56" s="18"/>
      <c r="O56" s="18"/>
      <c r="P56" s="18"/>
      <c r="Q56" s="18"/>
      <c r="S56" s="18"/>
      <c r="T56" s="123" t="s">
        <v>239</v>
      </c>
      <c r="U56" s="46"/>
      <c r="AV56" s="1"/>
    </row>
    <row r="57" spans="1:48">
      <c r="A57" s="18"/>
      <c r="J57" s="26"/>
      <c r="K57" s="92"/>
      <c r="L57" s="18"/>
      <c r="M57" s="39"/>
      <c r="N57" s="18"/>
      <c r="O57" s="18"/>
      <c r="P57" s="18"/>
      <c r="Q57" s="18"/>
      <c r="S57" s="18"/>
      <c r="T57" s="123"/>
      <c r="U57" s="46"/>
      <c r="AH57" s="1"/>
      <c r="AU57" s="1"/>
      <c r="AV57" s="1"/>
    </row>
    <row r="58" spans="1:48">
      <c r="A58" s="18"/>
      <c r="J58" s="26"/>
      <c r="K58" s="92"/>
      <c r="L58" s="18"/>
      <c r="M58" s="39"/>
      <c r="N58" s="18"/>
      <c r="O58" s="18"/>
      <c r="P58" s="18"/>
      <c r="Q58" s="18"/>
      <c r="S58" s="18"/>
      <c r="T58" s="123"/>
      <c r="U58" s="46"/>
      <c r="AH58" s="1"/>
      <c r="AU58" s="1"/>
      <c r="AV58" s="1"/>
    </row>
    <row r="59" spans="1:48" ht="15" customHeight="1">
      <c r="A59" s="18"/>
      <c r="J59" s="17"/>
      <c r="K59" s="92"/>
      <c r="L59" s="18"/>
      <c r="M59" s="39"/>
      <c r="N59" s="18"/>
      <c r="O59" s="18"/>
      <c r="P59" s="18"/>
      <c r="Q59" s="18"/>
      <c r="S59" s="18"/>
      <c r="T59" s="132"/>
      <c r="U59" s="46"/>
      <c r="AH59" s="1"/>
      <c r="AU59" s="1"/>
      <c r="AV59" s="1"/>
    </row>
    <row r="60" spans="1:48">
      <c r="A60" s="18"/>
      <c r="J60" s="17"/>
      <c r="K60" s="92"/>
      <c r="L60" s="18"/>
      <c r="M60" s="39"/>
      <c r="N60" s="18"/>
      <c r="O60" s="18"/>
      <c r="P60" s="18"/>
      <c r="Q60" s="18"/>
      <c r="S60" s="18"/>
      <c r="T60" s="132"/>
      <c r="U60" s="46"/>
      <c r="AH60" s="1"/>
      <c r="AU60" s="1"/>
      <c r="AV60" s="1"/>
    </row>
    <row r="61" spans="1:48" ht="15" customHeight="1">
      <c r="A61" s="18"/>
      <c r="J61" s="71"/>
      <c r="K61" s="92"/>
      <c r="L61" s="18"/>
      <c r="M61" s="39"/>
      <c r="N61" s="18"/>
      <c r="O61" s="18"/>
      <c r="P61" s="18"/>
      <c r="Q61" s="18"/>
      <c r="S61" s="18"/>
      <c r="T61" s="123"/>
      <c r="U61" s="46"/>
      <c r="AH61" s="1"/>
      <c r="AU61" s="1"/>
      <c r="AV61" s="1"/>
    </row>
    <row r="62" spans="1:48">
      <c r="A62" s="18"/>
      <c r="J62" s="71"/>
      <c r="K62" s="92"/>
      <c r="L62" s="18"/>
      <c r="M62" s="39"/>
      <c r="N62" s="18"/>
      <c r="O62" s="18"/>
      <c r="P62" s="18"/>
      <c r="Q62" s="18"/>
      <c r="S62" s="18"/>
      <c r="T62" s="123"/>
      <c r="U62" s="46"/>
      <c r="AH62" s="1"/>
      <c r="AU62" s="1"/>
      <c r="AV62" s="1"/>
    </row>
    <row r="63" spans="1:48" ht="15" customHeight="1">
      <c r="A63" s="18"/>
      <c r="J63" s="71"/>
      <c r="K63" s="92"/>
      <c r="L63" s="18"/>
      <c r="M63" s="39"/>
      <c r="N63" s="18"/>
      <c r="O63" s="18"/>
      <c r="P63" s="18"/>
      <c r="Q63" s="18"/>
      <c r="S63" s="126"/>
      <c r="T63" s="123"/>
      <c r="U63" s="46"/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S64" s="71"/>
      <c r="T64" s="123" t="s">
        <v>240</v>
      </c>
      <c r="U64" s="46"/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19"/>
      <c r="L65" s="18"/>
      <c r="M65" s="18"/>
      <c r="N65" s="18"/>
      <c r="O65" s="19"/>
      <c r="P65" s="18"/>
      <c r="Q65" s="18"/>
      <c r="S65" s="18"/>
      <c r="T65" s="123" t="s">
        <v>241</v>
      </c>
      <c r="U65" s="46"/>
      <c r="AH65" s="1"/>
      <c r="AU65" s="1"/>
      <c r="AV65" s="1"/>
    </row>
    <row r="66" spans="1:48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18"/>
      <c r="L66" s="18"/>
      <c r="M66" s="26"/>
      <c r="N66" s="18"/>
      <c r="O66" s="18"/>
      <c r="P66" s="18"/>
      <c r="Q66" s="18"/>
      <c r="S66" s="18"/>
      <c r="T66" s="123" t="s">
        <v>242</v>
      </c>
      <c r="U66" s="46"/>
      <c r="AH66" s="1"/>
      <c r="AU66" s="1"/>
      <c r="AV66" s="1"/>
    </row>
    <row r="67" spans="1:48" ht="15" customHeight="1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18"/>
      <c r="L67" s="18"/>
      <c r="M67" s="26"/>
      <c r="N67" s="18"/>
      <c r="O67" s="18"/>
      <c r="P67" s="18"/>
      <c r="Q67" s="18"/>
      <c r="S67" s="18"/>
      <c r="T67" s="123" t="s">
        <v>243</v>
      </c>
      <c r="U67" s="46"/>
      <c r="AH67" s="1"/>
      <c r="AU67" s="1"/>
      <c r="AV67" s="1"/>
    </row>
    <row r="68" spans="1:48">
      <c r="A68" s="18"/>
      <c r="B68" s="482"/>
      <c r="C68" s="482"/>
      <c r="D68" s="482"/>
      <c r="E68" s="482"/>
      <c r="F68" s="482"/>
      <c r="G68" s="483"/>
      <c r="H68" s="483"/>
      <c r="I68" s="483"/>
      <c r="J68" s="18"/>
      <c r="K68" s="484"/>
      <c r="L68" s="484"/>
      <c r="M68" s="484"/>
      <c r="N68" s="19"/>
      <c r="O68" s="484"/>
      <c r="P68" s="484"/>
      <c r="Q68" s="484"/>
      <c r="S68" s="18"/>
      <c r="T68" s="123" t="s">
        <v>244</v>
      </c>
      <c r="U68" s="46"/>
      <c r="AH68" s="1"/>
      <c r="AU68" s="1"/>
      <c r="AV68" s="1"/>
    </row>
    <row r="69" spans="1:48" ht="12.75" customHeight="1">
      <c r="A69" s="18"/>
      <c r="B69" s="482"/>
      <c r="C69" s="482"/>
      <c r="D69" s="482"/>
      <c r="E69" s="482"/>
      <c r="F69" s="482"/>
      <c r="G69" s="483"/>
      <c r="H69" s="483"/>
      <c r="I69" s="483"/>
      <c r="J69" s="71"/>
      <c r="K69" s="18"/>
      <c r="L69" s="474"/>
      <c r="M69" s="474"/>
      <c r="N69" s="18"/>
      <c r="O69" s="485"/>
      <c r="P69" s="485"/>
      <c r="Q69" s="485"/>
      <c r="S69" s="18"/>
      <c r="T69" s="123" t="s">
        <v>245</v>
      </c>
      <c r="U69" s="46"/>
      <c r="AH69" s="1"/>
      <c r="AU69" s="1"/>
      <c r="AV69" s="1"/>
    </row>
    <row r="70" spans="1:48">
      <c r="A70" s="18"/>
      <c r="B70" s="482"/>
      <c r="C70" s="482"/>
      <c r="D70" s="482"/>
      <c r="E70" s="482"/>
      <c r="F70" s="482"/>
      <c r="G70" s="483"/>
      <c r="H70" s="483"/>
      <c r="I70" s="483"/>
      <c r="J70" s="71"/>
      <c r="K70" s="92"/>
      <c r="L70" s="18"/>
      <c r="M70" s="84"/>
      <c r="N70" s="18"/>
      <c r="O70" s="18"/>
      <c r="P70" s="18"/>
      <c r="Q70" s="18"/>
      <c r="S70" s="18"/>
      <c r="T70" s="123" t="s">
        <v>246</v>
      </c>
      <c r="U70" s="46"/>
      <c r="AH70" s="1"/>
      <c r="AU70" s="1"/>
      <c r="AV70" s="1"/>
    </row>
    <row r="71" spans="1:48">
      <c r="A71" s="18"/>
      <c r="B71" s="482"/>
      <c r="C71" s="482"/>
      <c r="D71" s="482"/>
      <c r="E71" s="482"/>
      <c r="F71" s="482"/>
      <c r="G71" s="483"/>
      <c r="H71" s="483"/>
      <c r="I71" s="483"/>
      <c r="J71" s="71"/>
      <c r="K71" s="92"/>
      <c r="L71" s="18"/>
      <c r="M71" s="84"/>
      <c r="N71" s="18"/>
      <c r="O71" s="18"/>
      <c r="P71" s="18"/>
      <c r="Q71" s="18"/>
      <c r="S71" s="18"/>
      <c r="T71" s="123" t="s">
        <v>247</v>
      </c>
      <c r="U71" s="46"/>
      <c r="AH71" s="1"/>
      <c r="AU71" s="1"/>
      <c r="AV71" s="1"/>
    </row>
    <row r="72" spans="1:48">
      <c r="A72" s="18"/>
      <c r="B72" s="93"/>
      <c r="C72" s="18"/>
      <c r="D72" s="18"/>
      <c r="E72" s="18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S72" s="18"/>
      <c r="T72" s="123" t="s">
        <v>248</v>
      </c>
      <c r="U72" s="46"/>
      <c r="AH72" s="1"/>
      <c r="AU72" s="1"/>
      <c r="AV72" s="1"/>
    </row>
    <row r="73" spans="1:48">
      <c r="A73" s="18"/>
      <c r="C73" s="93"/>
      <c r="D73" s="479"/>
      <c r="E73" s="480"/>
      <c r="F73" s="480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S73" s="18"/>
      <c r="T73" s="123" t="s">
        <v>249</v>
      </c>
      <c r="U73" s="46"/>
      <c r="AH73" s="1"/>
      <c r="AU73" s="1"/>
      <c r="AV73" s="1"/>
    </row>
    <row r="74" spans="1:48">
      <c r="A74" s="18"/>
      <c r="B74" s="93"/>
      <c r="C74" s="18"/>
      <c r="D74" s="94"/>
      <c r="E74" s="94"/>
      <c r="F74" s="18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S74" s="18"/>
      <c r="T74" s="123" t="s">
        <v>250</v>
      </c>
      <c r="AH74" s="1"/>
      <c r="AU74" s="1"/>
      <c r="AV74" s="1"/>
    </row>
    <row r="75" spans="1:48">
      <c r="A75" s="18"/>
      <c r="B75" s="93"/>
      <c r="C75" s="18"/>
      <c r="D75" s="94"/>
      <c r="E75" s="94"/>
      <c r="F75" s="18"/>
      <c r="G75" s="18"/>
      <c r="H75" s="18"/>
      <c r="I75" s="18"/>
      <c r="J75" s="71"/>
      <c r="K75" s="92"/>
      <c r="L75" s="18"/>
      <c r="M75" s="39"/>
      <c r="N75" s="18"/>
      <c r="O75" s="18"/>
      <c r="P75" s="18"/>
      <c r="Q75" s="18"/>
      <c r="S75" s="18"/>
      <c r="AH75" s="1"/>
      <c r="AU75" s="1"/>
      <c r="AV75" s="1"/>
    </row>
    <row r="76" spans="1:48">
      <c r="A76" s="18"/>
      <c r="B76" s="93"/>
      <c r="C76" s="18"/>
      <c r="D76" s="94"/>
      <c r="E76" s="94"/>
      <c r="F76" s="18"/>
      <c r="G76" s="18"/>
      <c r="H76" s="18"/>
      <c r="I76" s="18"/>
      <c r="J76" s="71"/>
      <c r="K76" s="92"/>
      <c r="L76" s="18"/>
      <c r="M76" s="39"/>
      <c r="N76" s="18"/>
      <c r="O76" s="18"/>
      <c r="P76" s="18"/>
      <c r="Q76" s="18"/>
      <c r="S76" s="18"/>
      <c r="AH76" s="1"/>
      <c r="AU76" s="1"/>
      <c r="AV76" s="1"/>
    </row>
    <row r="77" spans="1:48">
      <c r="A77" s="18"/>
      <c r="B77" s="93"/>
      <c r="C77" s="18"/>
      <c r="D77" s="94"/>
      <c r="E77" s="94"/>
      <c r="F77" s="18"/>
      <c r="G77" s="18"/>
      <c r="H77" s="18"/>
      <c r="I77" s="18"/>
      <c r="J77" s="71"/>
      <c r="K77" s="92"/>
      <c r="L77" s="18"/>
      <c r="M77" s="39"/>
      <c r="N77" s="18"/>
      <c r="O77" s="18"/>
      <c r="P77" s="18"/>
      <c r="Q77" s="18"/>
      <c r="S77" s="18"/>
      <c r="AH77" s="1"/>
      <c r="AU77" s="1"/>
      <c r="AV77" s="1"/>
    </row>
    <row r="78" spans="1:48" ht="12" customHeight="1">
      <c r="A78" s="18"/>
      <c r="B78" s="93"/>
      <c r="C78" s="18"/>
      <c r="D78" s="94"/>
      <c r="E78" s="94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S78" s="18"/>
      <c r="AH78" s="1"/>
      <c r="AU78" s="1"/>
      <c r="AV78" s="1"/>
    </row>
    <row r="79" spans="1:48" ht="12" customHeight="1">
      <c r="A79" s="18"/>
      <c r="J79" s="71"/>
      <c r="K79" s="92"/>
      <c r="L79" s="18"/>
      <c r="M79" s="39"/>
      <c r="N79" s="18"/>
      <c r="O79" s="18"/>
      <c r="P79" s="18"/>
      <c r="Q79" s="18"/>
      <c r="S79" s="18"/>
      <c r="AH79" s="1"/>
      <c r="AU79" s="1"/>
      <c r="AV79" s="1"/>
    </row>
    <row r="80" spans="1:48" ht="12" customHeight="1">
      <c r="A80" s="18"/>
      <c r="J80" s="71"/>
      <c r="K80" s="92"/>
      <c r="L80" s="18"/>
      <c r="M80" s="39"/>
      <c r="N80" s="18"/>
      <c r="O80" s="18"/>
      <c r="P80" s="18"/>
      <c r="Q80" s="18"/>
      <c r="S80" s="18"/>
      <c r="AH80" s="1"/>
      <c r="AU80" s="1"/>
      <c r="AV80" s="1"/>
    </row>
    <row r="81" spans="1:48" ht="12" customHeight="1">
      <c r="A81" s="18"/>
      <c r="J81" s="71"/>
      <c r="K81" s="92"/>
      <c r="L81" s="18"/>
      <c r="M81" s="39"/>
      <c r="N81" s="18"/>
      <c r="O81" s="18"/>
      <c r="P81" s="18"/>
      <c r="Q81" s="18"/>
      <c r="S81" s="18"/>
      <c r="AH81" s="1"/>
      <c r="AU81" s="1"/>
      <c r="AV81" s="1"/>
    </row>
    <row r="82" spans="1:48" ht="12" customHeight="1">
      <c r="A82" s="18"/>
      <c r="J82" s="71"/>
      <c r="K82" s="92"/>
      <c r="L82" s="18"/>
      <c r="M82" s="39"/>
      <c r="N82" s="18"/>
      <c r="O82" s="18"/>
      <c r="P82" s="18"/>
      <c r="Q82" s="18"/>
      <c r="S82" s="18"/>
      <c r="AH82" s="1"/>
      <c r="AU82" s="1"/>
      <c r="AV82" s="1"/>
    </row>
    <row r="83" spans="1:48" ht="12" customHeight="1">
      <c r="A83" s="18"/>
      <c r="J83" s="71"/>
      <c r="K83" s="92"/>
      <c r="L83" s="18"/>
      <c r="M83" s="39"/>
      <c r="N83" s="18"/>
      <c r="O83" s="18"/>
      <c r="P83" s="18"/>
      <c r="Q83" s="18"/>
      <c r="S83" s="18"/>
      <c r="AH83" s="1"/>
      <c r="AU83" s="1"/>
      <c r="AV83" s="1"/>
    </row>
    <row r="84" spans="1:48" ht="12" customHeight="1">
      <c r="A84" s="18"/>
      <c r="B84" s="93"/>
      <c r="C84" s="18"/>
      <c r="D84" s="18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S84" s="18"/>
      <c r="AH84" s="1"/>
      <c r="AU84" s="1"/>
      <c r="AV84" s="1"/>
    </row>
    <row r="85" spans="1:48" ht="12" customHeight="1">
      <c r="A85" s="18"/>
      <c r="B85" s="93"/>
      <c r="C85" s="18"/>
      <c r="D85" s="18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S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S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S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S88" s="18"/>
      <c r="AH88" s="1"/>
      <c r="AU88" s="1"/>
      <c r="AV88" s="1"/>
    </row>
    <row r="89" spans="1:48" ht="12" customHeight="1">
      <c r="A89" s="18"/>
      <c r="B89" s="93"/>
      <c r="C89" s="18"/>
      <c r="D89" s="26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S89" s="18"/>
      <c r="AH89" s="1"/>
      <c r="AU89" s="1"/>
      <c r="AV89" s="1"/>
    </row>
    <row r="90" spans="1:48" ht="12" customHeight="1">
      <c r="A90" s="18"/>
      <c r="B90" s="93"/>
      <c r="C90" s="18"/>
      <c r="D90" s="26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S90" s="18"/>
      <c r="AH90" s="1"/>
      <c r="AU90" s="1"/>
      <c r="AV90" s="1"/>
    </row>
    <row r="91" spans="1:48" ht="12" customHeight="1">
      <c r="A91" s="18"/>
      <c r="B91" s="93"/>
      <c r="C91" s="18"/>
      <c r="D91" s="26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S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S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S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S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S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S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S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S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S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S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S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S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S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S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S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S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S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S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S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S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S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S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S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S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S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S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S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S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S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S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S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S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S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S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S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S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S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S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S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S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S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S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S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S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S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S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S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S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S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S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S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S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S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S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S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S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S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S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S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S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S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S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S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S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S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S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S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S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S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S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S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S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S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S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S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S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S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S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S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S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S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S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S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S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S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S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S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S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S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S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S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S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S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S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S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S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S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S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S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S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S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S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S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S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S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S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S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S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S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S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S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S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S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S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S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S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S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S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S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S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S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S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S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S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S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S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S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S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S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S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S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S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S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S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S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S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S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S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S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S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92"/>
      <c r="L231" s="18"/>
      <c r="M231" s="39"/>
      <c r="N231" s="18"/>
      <c r="O231" s="18"/>
      <c r="P231" s="18"/>
      <c r="Q231" s="18"/>
      <c r="S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92"/>
      <c r="L232" s="18"/>
      <c r="M232" s="39"/>
      <c r="N232" s="18"/>
      <c r="O232" s="18"/>
      <c r="P232" s="18"/>
      <c r="Q232" s="18"/>
      <c r="S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92"/>
      <c r="L233" s="18"/>
      <c r="M233" s="39"/>
      <c r="N233" s="18"/>
      <c r="O233" s="18"/>
      <c r="P233" s="18"/>
      <c r="Q233" s="18"/>
      <c r="S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92"/>
      <c r="L234" s="18"/>
      <c r="M234" s="39"/>
      <c r="N234" s="18"/>
      <c r="O234" s="18"/>
      <c r="P234" s="18"/>
      <c r="Q234" s="18"/>
      <c r="S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92"/>
      <c r="L235" s="18"/>
      <c r="M235" s="39"/>
      <c r="N235" s="18"/>
      <c r="O235" s="18"/>
      <c r="P235" s="18"/>
      <c r="Q235" s="18"/>
      <c r="S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92"/>
      <c r="L236" s="18"/>
      <c r="M236" s="39"/>
      <c r="N236" s="18"/>
      <c r="O236" s="18"/>
      <c r="P236" s="18"/>
      <c r="Q236" s="18"/>
      <c r="S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92"/>
      <c r="L237" s="18"/>
      <c r="M237" s="39"/>
      <c r="N237" s="18"/>
      <c r="O237" s="18"/>
      <c r="P237" s="18"/>
      <c r="Q237" s="18"/>
      <c r="S237" s="221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8"/>
      <c r="L238" s="18"/>
      <c r="M238" s="39"/>
      <c r="N238" s="18"/>
      <c r="O238" s="18"/>
      <c r="P238" s="18"/>
      <c r="Q238" s="18"/>
      <c r="S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8"/>
      <c r="L239" s="18"/>
      <c r="M239" s="26"/>
      <c r="N239" s="18"/>
      <c r="O239" s="18"/>
      <c r="P239" s="18"/>
      <c r="Q239" s="18"/>
      <c r="S239" s="18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18"/>
      <c r="L240" s="18"/>
      <c r="M240" s="26"/>
      <c r="N240" s="18"/>
      <c r="O240" s="18"/>
      <c r="P240" s="18"/>
      <c r="Q240" s="18"/>
      <c r="S240" s="18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18"/>
      <c r="L241" s="18"/>
      <c r="M241" s="26"/>
      <c r="N241" s="18"/>
      <c r="O241" s="18"/>
      <c r="P241" s="18"/>
      <c r="Q241" s="18"/>
      <c r="AH241" s="1"/>
      <c r="AU241" s="1"/>
      <c r="AV241" s="1"/>
    </row>
    <row r="242" spans="1:48" ht="12" customHeight="1">
      <c r="A242" s="18"/>
      <c r="B242" s="93"/>
      <c r="C242" s="18"/>
      <c r="D242" s="18"/>
      <c r="E242" s="18"/>
      <c r="F242" s="18"/>
      <c r="G242" s="18"/>
      <c r="H242" s="18"/>
      <c r="I242" s="18"/>
      <c r="J242" s="71"/>
      <c r="K242" s="481"/>
      <c r="L242" s="481"/>
      <c r="M242" s="481"/>
      <c r="N242" s="18"/>
      <c r="O242" s="18"/>
      <c r="P242" s="481"/>
      <c r="Q242" s="481"/>
      <c r="AH242" s="1"/>
      <c r="AU242" s="1"/>
      <c r="AV242" s="1"/>
    </row>
    <row r="243" spans="1:48" ht="12" customHeight="1">
      <c r="A243" s="18"/>
      <c r="B243" s="93"/>
      <c r="C243" s="18"/>
      <c r="D243" s="18"/>
      <c r="E243" s="18"/>
      <c r="F243" s="18"/>
      <c r="G243" s="18"/>
      <c r="H243" s="18"/>
      <c r="I243" s="18"/>
      <c r="J243" s="71"/>
      <c r="K243" s="18"/>
      <c r="L243" s="474"/>
      <c r="M243" s="474"/>
      <c r="N243" s="18"/>
      <c r="O243" s="18"/>
      <c r="P243" s="18"/>
      <c r="Q243" s="18"/>
      <c r="AH243" s="1"/>
      <c r="AU243" s="1"/>
      <c r="AV243" s="1"/>
    </row>
    <row r="244" spans="1:48" ht="12" customHeight="1">
      <c r="A244" s="18"/>
      <c r="B244" s="93"/>
      <c r="C244" s="18"/>
      <c r="D244" s="18"/>
      <c r="E244" s="18"/>
      <c r="F244" s="18"/>
      <c r="G244" s="18"/>
      <c r="H244" s="18"/>
      <c r="I244" s="18"/>
      <c r="J244" s="71"/>
      <c r="K244" s="17"/>
      <c r="L244" s="18"/>
      <c r="M244" s="18"/>
      <c r="N244" s="18"/>
      <c r="O244" s="18"/>
      <c r="P244" s="18"/>
      <c r="Q244" s="18"/>
      <c r="AH244" s="1"/>
      <c r="AU244" s="1"/>
      <c r="AV244" s="1"/>
    </row>
    <row r="245" spans="1:48" ht="12" customHeight="1">
      <c r="A245" s="18"/>
      <c r="B245" s="93"/>
      <c r="C245" s="18"/>
      <c r="D245" s="18"/>
      <c r="E245" s="18"/>
      <c r="F245" s="18"/>
      <c r="G245" s="18"/>
      <c r="H245" s="18"/>
      <c r="I245" s="18"/>
      <c r="J245" s="71"/>
      <c r="K245" s="19"/>
      <c r="L245" s="18"/>
      <c r="M245" s="18"/>
      <c r="N245" s="18"/>
      <c r="O245" s="18"/>
      <c r="P245" s="18"/>
      <c r="Q245" s="18"/>
      <c r="AH245" s="1"/>
      <c r="AU245" s="1"/>
      <c r="AV245" s="1"/>
    </row>
    <row r="246" spans="1:48" ht="12" customHeight="1">
      <c r="A246" s="18"/>
      <c r="B246" s="18"/>
      <c r="C246" s="18"/>
      <c r="D246" s="26"/>
      <c r="E246" s="18"/>
      <c r="F246" s="18"/>
      <c r="G246" s="18"/>
      <c r="H246" s="18"/>
      <c r="I246" s="18"/>
      <c r="J246" s="71"/>
      <c r="K246" s="17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26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26"/>
      <c r="E248" s="18"/>
      <c r="F248" s="18"/>
      <c r="G248" s="18"/>
      <c r="H248" s="18"/>
      <c r="I248" s="18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26"/>
      <c r="E249" s="18"/>
      <c r="F249" s="18"/>
      <c r="G249" s="18"/>
      <c r="H249" s="18"/>
      <c r="I249" s="18"/>
      <c r="J249" s="18"/>
      <c r="K249" s="4"/>
      <c r="L249" s="1"/>
      <c r="AH249" s="1"/>
      <c r="AU249" s="1"/>
      <c r="AV249" s="1"/>
    </row>
    <row r="250" spans="1:48" ht="12" customHeight="1">
      <c r="B250" s="18"/>
      <c r="C250" s="18"/>
      <c r="D250" s="18"/>
      <c r="E250" s="18"/>
      <c r="F250" s="26"/>
      <c r="G250" s="26"/>
      <c r="H250" s="26"/>
      <c r="I250" s="26"/>
      <c r="J250" s="18"/>
      <c r="K250" s="4"/>
      <c r="L250" s="1"/>
      <c r="AH250" s="1"/>
      <c r="AU250" s="1"/>
      <c r="AV250" s="1"/>
    </row>
    <row r="251" spans="1:48" ht="12" customHeight="1">
      <c r="A251" s="95" t="e">
        <f>(F15-#REF!)*12%</f>
        <v>#REF!</v>
      </c>
      <c r="B251" s="18"/>
      <c r="C251" s="18"/>
      <c r="D251" s="18"/>
      <c r="E251" s="18"/>
      <c r="F251" s="18"/>
      <c r="G251" s="18"/>
      <c r="H251" s="18"/>
      <c r="I251" s="18"/>
      <c r="J251" s="18"/>
      <c r="K251" s="4"/>
      <c r="L251" s="1"/>
      <c r="AH251" s="1"/>
      <c r="AU251" s="1"/>
      <c r="AV251" s="1"/>
    </row>
    <row r="252" spans="1:48" ht="12" customHeight="1">
      <c r="A252" s="96"/>
      <c r="B252" s="18"/>
      <c r="C252" s="18"/>
      <c r="D252" s="97"/>
      <c r="E252" s="98"/>
      <c r="F252" s="98"/>
      <c r="G252" s="98"/>
      <c r="H252" s="98"/>
      <c r="I252" s="17"/>
      <c r="J252" s="18"/>
      <c r="K252" s="4"/>
      <c r="L252" s="1"/>
      <c r="AH252" s="1"/>
      <c r="AU252" s="1"/>
      <c r="AV252" s="1"/>
    </row>
    <row r="253" spans="1:48" ht="17.25" customHeight="1">
      <c r="B253" s="18"/>
      <c r="C253" s="18"/>
      <c r="D253" s="97"/>
      <c r="E253" s="98"/>
      <c r="F253" s="98"/>
      <c r="G253" s="98"/>
      <c r="H253" s="98"/>
      <c r="I253" s="19"/>
      <c r="J253" s="18"/>
      <c r="K253" s="4"/>
      <c r="L253" s="1"/>
      <c r="AH253" s="1"/>
      <c r="AU253" s="1"/>
      <c r="AV253" s="1"/>
    </row>
    <row r="254" spans="1:48" ht="15.75" customHeight="1">
      <c r="B254" s="95"/>
      <c r="D254" s="99"/>
      <c r="E254" s="100"/>
      <c r="F254" s="100"/>
      <c r="G254" s="100"/>
      <c r="H254" s="100"/>
      <c r="I254" s="17"/>
      <c r="J254" s="18"/>
      <c r="K254" s="4"/>
      <c r="L254" s="1"/>
      <c r="AH254" s="1"/>
      <c r="AU254" s="1"/>
      <c r="AV254" s="1"/>
    </row>
    <row r="255" spans="1:48" ht="12.75" customHeight="1">
      <c r="D255" s="99"/>
      <c r="F255" s="100"/>
      <c r="G255" s="100"/>
      <c r="H255" s="100"/>
      <c r="J255" s="18"/>
      <c r="K255" s="4"/>
      <c r="L255" s="1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K256" s="4"/>
      <c r="L256" s="1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K257" s="4"/>
      <c r="L257" s="1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K258" s="4"/>
      <c r="L258" s="1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J259" s="4"/>
      <c r="K259" s="4"/>
      <c r="L259" s="1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17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9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E790" s="100"/>
      <c r="F790" s="100"/>
      <c r="G790" s="100"/>
      <c r="H790" s="100"/>
    </row>
    <row r="791" spans="4:8" ht="12.75" customHeight="1">
      <c r="D791" s="99"/>
      <c r="E791" s="100"/>
      <c r="F791" s="100"/>
      <c r="G791" s="100"/>
      <c r="H791" s="100"/>
    </row>
    <row r="792" spans="4:8" ht="12.75" customHeight="1">
      <c r="D792" s="99"/>
      <c r="E792" s="100"/>
      <c r="F792" s="100"/>
      <c r="G792" s="100"/>
      <c r="H792" s="100"/>
    </row>
    <row r="793" spans="4:8" ht="12.75" customHeight="1">
      <c r="D793" s="99"/>
      <c r="E793" s="100"/>
      <c r="F793" s="100"/>
      <c r="G793" s="100"/>
      <c r="H793" s="100"/>
    </row>
    <row r="794" spans="4:8" ht="12.75" customHeight="1">
      <c r="D794" s="99"/>
      <c r="F794" s="100"/>
      <c r="G794" s="100"/>
      <c r="H794" s="100"/>
    </row>
    <row r="795" spans="4:8" ht="12.75" customHeight="1">
      <c r="D795" s="99"/>
      <c r="F795" s="100"/>
      <c r="G795" s="100"/>
      <c r="H795" s="100"/>
    </row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2zpladSGCR0JknsXsODZJSnFea7jufNJJ8CiWrnKpgSPsBFtb+3p4knvthzcERRkjziWi3Cu9sIHrTSCY7aNyg==" saltValue="siNdoPJNAwIN675di7F/3A==" spinCount="100000" sheet="1" selectLockedCells="1" selectUnlockedCells="1"/>
  <mergeCells count="149"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W18:X18"/>
    <mergeCell ref="K19:L19"/>
    <mergeCell ref="N19:O19"/>
    <mergeCell ref="P19:Q19"/>
    <mergeCell ref="W19:X19"/>
    <mergeCell ref="F20:I20"/>
    <mergeCell ref="K20:L20"/>
    <mergeCell ref="N20:O20"/>
    <mergeCell ref="P20:Q20"/>
    <mergeCell ref="W20:X20"/>
    <mergeCell ref="P23:Q23"/>
    <mergeCell ref="F24:I24"/>
    <mergeCell ref="K24:L24"/>
    <mergeCell ref="N24:O24"/>
    <mergeCell ref="K21:L21"/>
    <mergeCell ref="N21:O21"/>
    <mergeCell ref="P21:Q21"/>
    <mergeCell ref="F22:I22"/>
    <mergeCell ref="K22:L22"/>
    <mergeCell ref="N22:O22"/>
    <mergeCell ref="P22:Q22"/>
    <mergeCell ref="B25:C25"/>
    <mergeCell ref="H25:I25"/>
    <mergeCell ref="K25:L25"/>
    <mergeCell ref="N25:O25"/>
    <mergeCell ref="F26:I26"/>
    <mergeCell ref="K26:L26"/>
    <mergeCell ref="N26:O26"/>
    <mergeCell ref="K23:L23"/>
    <mergeCell ref="N23:O23"/>
    <mergeCell ref="K30:L30"/>
    <mergeCell ref="N30:O30"/>
    <mergeCell ref="K31:L31"/>
    <mergeCell ref="N31:O31"/>
    <mergeCell ref="K32:L32"/>
    <mergeCell ref="N32:O32"/>
    <mergeCell ref="K27:L27"/>
    <mergeCell ref="N27:O27"/>
    <mergeCell ref="K28:L28"/>
    <mergeCell ref="N28:O28"/>
    <mergeCell ref="K29:L29"/>
    <mergeCell ref="N29:O29"/>
    <mergeCell ref="K35:L35"/>
    <mergeCell ref="N35:O35"/>
    <mergeCell ref="F40:I40"/>
    <mergeCell ref="K36:L36"/>
    <mergeCell ref="N36:O36"/>
    <mergeCell ref="F37:I37"/>
    <mergeCell ref="K33:L33"/>
    <mergeCell ref="N33:O33"/>
    <mergeCell ref="F38:I38"/>
    <mergeCell ref="K34:L34"/>
    <mergeCell ref="N34:O34"/>
    <mergeCell ref="F33:I33"/>
    <mergeCell ref="P42:Q42"/>
    <mergeCell ref="F41:I41"/>
    <mergeCell ref="K37:L37"/>
    <mergeCell ref="N37:O37"/>
    <mergeCell ref="K38:L38"/>
    <mergeCell ref="N38:O38"/>
    <mergeCell ref="K39:L39"/>
    <mergeCell ref="N39:O39"/>
    <mergeCell ref="F39:I39"/>
    <mergeCell ref="B68:C69"/>
    <mergeCell ref="D68:F69"/>
    <mergeCell ref="G68:I69"/>
    <mergeCell ref="B70:C71"/>
    <mergeCell ref="D70:F71"/>
    <mergeCell ref="G70:I71"/>
    <mergeCell ref="L49:M49"/>
    <mergeCell ref="O49:Q49"/>
    <mergeCell ref="B64:C65"/>
    <mergeCell ref="D64:F65"/>
    <mergeCell ref="G64:I65"/>
    <mergeCell ref="B66:C67"/>
    <mergeCell ref="D66:F67"/>
    <mergeCell ref="G66:I67"/>
    <mergeCell ref="F49:I49"/>
    <mergeCell ref="F50:I50"/>
    <mergeCell ref="F52:G52"/>
    <mergeCell ref="L243:M243"/>
    <mergeCell ref="G28:I28"/>
    <mergeCell ref="G29:I29"/>
    <mergeCell ref="G30:I30"/>
    <mergeCell ref="G31:I31"/>
    <mergeCell ref="P2:Q2"/>
    <mergeCell ref="K68:M68"/>
    <mergeCell ref="O68:Q68"/>
    <mergeCell ref="D73:F73"/>
    <mergeCell ref="L69:M69"/>
    <mergeCell ref="O69:Q69"/>
    <mergeCell ref="K242:M242"/>
    <mergeCell ref="P242:Q242"/>
    <mergeCell ref="F48:I48"/>
    <mergeCell ref="N44:O44"/>
    <mergeCell ref="K48:M48"/>
    <mergeCell ref="O48:Q48"/>
    <mergeCell ref="P39:Q39"/>
    <mergeCell ref="K40:L40"/>
    <mergeCell ref="N40:O40"/>
    <mergeCell ref="K41:L41"/>
    <mergeCell ref="N41:O41"/>
    <mergeCell ref="K42:L42"/>
    <mergeCell ref="N42:O42"/>
  </mergeCells>
  <pageMargins left="0.23622047244094491" right="0.23622047244094491" top="0.39370078740157483" bottom="0.74803149606299213" header="0.31496062992125984" footer="0.31496062992125984"/>
  <pageSetup paperSize="5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A5BD9-5973-4EE3-BBC5-356B26CEA088}">
  <sheetPr>
    <tabColor theme="7" tint="0.79998168889431442"/>
  </sheetPr>
  <dimension ref="A1:AY869"/>
  <sheetViews>
    <sheetView showGridLines="0" topLeftCell="A4" zoomScale="90" zoomScaleNormal="90" zoomScalePageLayoutView="70" workbookViewId="0">
      <selection activeCell="K33" sqref="K33"/>
    </sheetView>
  </sheetViews>
  <sheetFormatPr defaultColWidth="8.85546875" defaultRowHeight="15"/>
  <cols>
    <col min="1" max="1" width="3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19.285156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6.42578125" style="1" customWidth="1"/>
    <col min="11" max="11" width="9.140625" style="1" customWidth="1"/>
    <col min="12" max="12" width="20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9.7109375" customWidth="1"/>
    <col min="19" max="19" width="9.7109375" style="1" hidden="1" customWidth="1"/>
    <col min="20" max="20" width="24.5703125" style="9" hidden="1" customWidth="1"/>
    <col min="21" max="22" width="11.42578125" style="1" hidden="1" customWidth="1"/>
    <col min="23" max="24" width="8.85546875" style="1" hidden="1" customWidth="1"/>
    <col min="25" max="25" width="11.28515625" style="1" hidden="1" customWidth="1"/>
    <col min="26" max="26" width="8.85546875" style="1" hidden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9" ht="55.5" customHeight="1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9">
      <c r="B2" s="13" t="s">
        <v>157</v>
      </c>
      <c r="C2" s="14">
        <f ca="1">FORM!E14</f>
        <v>45849</v>
      </c>
      <c r="D2" s="15"/>
      <c r="J2" s="17"/>
      <c r="K2"/>
      <c r="L2"/>
      <c r="M2" s="18"/>
      <c r="O2" s="16" t="s">
        <v>158</v>
      </c>
      <c r="P2" s="562" t="s">
        <v>159</v>
      </c>
      <c r="Q2" s="563"/>
      <c r="S2" s="21"/>
    </row>
    <row r="3" spans="1:19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9" ht="18.75" customHeight="1">
      <c r="A4" s="18"/>
      <c r="B4" s="489" t="s">
        <v>286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  <c r="S4" s="294"/>
    </row>
    <row r="5" spans="1:19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  <c r="S5" s="18"/>
    </row>
    <row r="6" spans="1:19">
      <c r="A6" s="18"/>
      <c r="B6" s="24" t="s">
        <v>162</v>
      </c>
      <c r="C6" s="25"/>
      <c r="D6" s="26" t="s">
        <v>73</v>
      </c>
      <c r="E6" s="501" t="str">
        <f>FORM!E16</f>
        <v>BUYER The Aguirre Townhouse Las Piñas</v>
      </c>
      <c r="F6" s="501"/>
      <c r="G6" s="501"/>
      <c r="H6" s="501"/>
      <c r="I6" s="501"/>
      <c r="J6" s="17"/>
      <c r="K6" s="535" t="str">
        <f>B6</f>
        <v>CLIENT'S NAME</v>
      </c>
      <c r="L6" s="535"/>
      <c r="M6" s="26" t="s">
        <v>73</v>
      </c>
      <c r="N6" s="536" t="str">
        <f t="shared" ref="N6:N13" si="0">E6</f>
        <v>BUYER The Aguirre Townhouse Las Piñas</v>
      </c>
      <c r="O6" s="536"/>
      <c r="P6" s="536"/>
      <c r="Q6" s="536"/>
      <c r="S6" s="26"/>
    </row>
    <row r="7" spans="1:19" ht="15.75" thickBot="1">
      <c r="A7" s="18"/>
      <c r="B7" s="27" t="s">
        <v>163</v>
      </c>
      <c r="C7" s="28"/>
      <c r="D7" s="26" t="s">
        <v>73</v>
      </c>
      <c r="E7" s="537" t="str">
        <f>'Pricelist Standard'!H3</f>
        <v>The Aguirre Townhouse - Las Piñas</v>
      </c>
      <c r="F7" s="474"/>
      <c r="G7" s="474"/>
      <c r="H7" s="474"/>
      <c r="I7" s="538"/>
      <c r="J7" s="17"/>
      <c r="K7" s="535" t="str">
        <f t="shared" ref="K7:K13" si="1">B7</f>
        <v>PROJECT NAME</v>
      </c>
      <c r="L7" s="535"/>
      <c r="M7" s="29" t="s">
        <v>73</v>
      </c>
      <c r="N7" s="536" t="str">
        <f t="shared" si="0"/>
        <v>The Aguirre Townhouse - Las Piñas</v>
      </c>
      <c r="O7" s="536"/>
      <c r="P7" s="536"/>
      <c r="Q7" s="536"/>
      <c r="S7" s="26"/>
    </row>
    <row r="8" spans="1:19">
      <c r="A8" s="30"/>
      <c r="B8" s="24" t="s">
        <v>258</v>
      </c>
      <c r="C8" s="25"/>
      <c r="D8" s="26" t="s">
        <v>73</v>
      </c>
      <c r="E8" s="553" t="str">
        <f>FORM!E4</f>
        <v>Unit 9</v>
      </c>
      <c r="F8" s="540"/>
      <c r="G8" s="540"/>
      <c r="H8" s="540"/>
      <c r="I8" s="541"/>
      <c r="J8" s="17"/>
      <c r="K8" s="535" t="str">
        <f t="shared" si="1"/>
        <v>HOUSE NUMBER</v>
      </c>
      <c r="L8" s="535"/>
      <c r="M8" s="26" t="s">
        <v>73</v>
      </c>
      <c r="N8" s="536" t="str">
        <f>E8</f>
        <v>Unit 9</v>
      </c>
      <c r="O8" s="536"/>
      <c r="P8" s="536"/>
      <c r="Q8" s="536"/>
      <c r="S8" s="26"/>
    </row>
    <row r="9" spans="1:19" ht="15" hidden="1" customHeight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tr">
        <f t="shared" si="1"/>
        <v>TOWER</v>
      </c>
      <c r="L9" s="535"/>
      <c r="M9" s="26" t="s">
        <v>73</v>
      </c>
      <c r="N9" s="536" t="str">
        <f t="shared" si="0"/>
        <v>N/A</v>
      </c>
      <c r="O9" s="536"/>
      <c r="P9" s="536"/>
      <c r="Q9" s="536"/>
      <c r="S9" s="26"/>
    </row>
    <row r="10" spans="1:19" ht="15.75" thickBot="1">
      <c r="A10" s="18"/>
      <c r="B10" s="27" t="s">
        <v>75</v>
      </c>
      <c r="C10" s="28"/>
      <c r="D10" s="26" t="s">
        <v>73</v>
      </c>
      <c r="E10" s="542" t="str">
        <f>'Pricelist Standard'!H9</f>
        <v>2 Storey</v>
      </c>
      <c r="F10" s="543"/>
      <c r="G10" s="543"/>
      <c r="H10" s="543"/>
      <c r="I10" s="556"/>
      <c r="J10" s="17"/>
      <c r="K10" s="535" t="str">
        <f t="shared" si="1"/>
        <v>HOUSE TYPE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  <c r="S10" s="26"/>
    </row>
    <row r="11" spans="1:19">
      <c r="A11" s="18"/>
      <c r="B11" s="27" t="str">
        <f>FORM!B32</f>
        <v>FLOOR AREA</v>
      </c>
      <c r="C11" s="28"/>
      <c r="D11" s="26" t="s">
        <v>73</v>
      </c>
      <c r="E11" s="519">
        <f>FORM!E32</f>
        <v>142.4</v>
      </c>
      <c r="F11" s="520"/>
      <c r="G11" s="31" t="s">
        <v>170</v>
      </c>
      <c r="H11" s="533"/>
      <c r="I11" s="534"/>
      <c r="J11" s="17"/>
      <c r="K11" s="535" t="str">
        <f t="shared" si="1"/>
        <v>FLOOR AREA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  <c r="S11" s="18"/>
    </row>
    <row r="12" spans="1:19">
      <c r="A12" s="30"/>
      <c r="B12" s="27" t="str">
        <f>FORM!B33</f>
        <v>LOT AREA</v>
      </c>
      <c r="C12" s="25"/>
      <c r="D12" s="26" t="s">
        <v>73</v>
      </c>
      <c r="E12" s="519">
        <f>FORM!E33</f>
        <v>80</v>
      </c>
      <c r="F12" s="520"/>
      <c r="G12" s="31" t="s">
        <v>170</v>
      </c>
      <c r="H12" s="521"/>
      <c r="I12" s="522"/>
      <c r="J12" s="17"/>
      <c r="K12" s="535" t="str">
        <f t="shared" si="1"/>
        <v>LOT AREA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  <c r="S12" s="18"/>
    </row>
    <row r="13" spans="1:19">
      <c r="A13" s="32"/>
      <c r="B13" s="27" t="str">
        <f>FORM!B34</f>
        <v>ACTUAL LOT AREA</v>
      </c>
      <c r="C13" s="25"/>
      <c r="D13" s="26" t="s">
        <v>73</v>
      </c>
      <c r="E13" s="519">
        <f>FORM!E34</f>
        <v>80</v>
      </c>
      <c r="F13" s="520"/>
      <c r="G13" s="31" t="s">
        <v>170</v>
      </c>
      <c r="H13" s="521"/>
      <c r="I13" s="522"/>
      <c r="J13" s="17"/>
      <c r="K13" s="535" t="str">
        <f t="shared" si="1"/>
        <v>ACTUAL LOT AREA</v>
      </c>
      <c r="L13" s="535"/>
      <c r="M13" s="26" t="s">
        <v>73</v>
      </c>
      <c r="N13" s="524">
        <f t="shared" si="0"/>
        <v>80</v>
      </c>
      <c r="O13" s="525"/>
      <c r="P13" s="521" t="s">
        <v>170</v>
      </c>
      <c r="Q13" s="522"/>
      <c r="S13" s="18"/>
    </row>
    <row r="14" spans="1:19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  <c r="S14" s="18"/>
    </row>
    <row r="15" spans="1:19" ht="15" customHeight="1">
      <c r="A15" s="18"/>
      <c r="B15" s="24" t="s">
        <v>174</v>
      </c>
      <c r="C15" s="24"/>
      <c r="D15" s="40" t="s">
        <v>73</v>
      </c>
      <c r="E15" s="305"/>
      <c r="F15" s="526">
        <f>'Standard Computation'!F15:I15</f>
        <v>8900000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  <c r="S15" s="294"/>
    </row>
    <row r="16" spans="1:19">
      <c r="A16" s="18"/>
      <c r="B16" s="24" t="s">
        <v>287</v>
      </c>
      <c r="C16" s="24"/>
      <c r="D16" s="40"/>
      <c r="E16" s="308">
        <v>7.4999999999999997E-2</v>
      </c>
      <c r="F16" s="222">
        <f>E16*F15</f>
        <v>667500</v>
      </c>
      <c r="G16" s="222"/>
      <c r="H16" s="222"/>
      <c r="I16" s="223"/>
      <c r="J16" s="19"/>
      <c r="K16" s="489"/>
      <c r="L16" s="489"/>
      <c r="M16" s="528"/>
      <c r="N16" s="489"/>
      <c r="O16" s="489"/>
      <c r="P16" s="531"/>
      <c r="Q16" s="532"/>
      <c r="S16" s="294"/>
    </row>
    <row r="17" spans="1:48">
      <c r="A17" s="18"/>
      <c r="B17" s="28" t="s">
        <v>179</v>
      </c>
      <c r="C17" s="28"/>
      <c r="D17" s="42" t="s">
        <v>73</v>
      </c>
      <c r="E17" s="306"/>
      <c r="F17" s="551"/>
      <c r="G17" s="551"/>
      <c r="H17" s="551"/>
      <c r="I17" s="552"/>
      <c r="J17" s="19"/>
      <c r="K17" s="501" t="s">
        <v>18</v>
      </c>
      <c r="L17" s="501"/>
      <c r="M17" s="46">
        <f ca="1">C2</f>
        <v>45849</v>
      </c>
      <c r="N17" s="490">
        <f>F26</f>
        <v>50000</v>
      </c>
      <c r="O17" s="490"/>
      <c r="P17" s="504"/>
      <c r="Q17" s="505"/>
      <c r="S17" s="26"/>
      <c r="U17" s="133">
        <f ca="1">M17</f>
        <v>45849</v>
      </c>
      <c r="V17" s="133" t="e">
        <f ca="1">EDATE(U17,#REF!)</f>
        <v>#REF!</v>
      </c>
    </row>
    <row r="18" spans="1:48" ht="13.9" customHeight="1">
      <c r="A18" s="18"/>
      <c r="B18" s="28" t="s">
        <v>107</v>
      </c>
      <c r="C18" s="28"/>
      <c r="D18" s="17" t="s">
        <v>73</v>
      </c>
      <c r="E18" s="305"/>
      <c r="F18" s="526">
        <f>F15-F17-F16</f>
        <v>8232500</v>
      </c>
      <c r="G18" s="526"/>
      <c r="H18" s="526"/>
      <c r="I18" s="527"/>
      <c r="J18" s="19"/>
      <c r="K18" s="504" t="s">
        <v>288</v>
      </c>
      <c r="L18" s="505"/>
      <c r="M18" s="46">
        <f ca="1">M17+30</f>
        <v>45879</v>
      </c>
      <c r="N18" s="502">
        <f>F27</f>
        <v>8805500</v>
      </c>
      <c r="O18" s="503"/>
      <c r="P18" s="504"/>
      <c r="Q18" s="505"/>
      <c r="S18" s="128">
        <v>1</v>
      </c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8.75" customHeight="1">
      <c r="A19" s="18"/>
      <c r="B19" s="28" t="s">
        <v>180</v>
      </c>
      <c r="C19" s="45"/>
      <c r="D19" s="17"/>
      <c r="E19" s="307"/>
      <c r="F19" s="304">
        <f>F18/E11</f>
        <v>57812.5</v>
      </c>
      <c r="G19" s="146"/>
      <c r="H19" s="146"/>
      <c r="I19" s="147"/>
      <c r="J19" s="19"/>
      <c r="K19" s="17"/>
      <c r="L19" s="17"/>
      <c r="M19" s="68"/>
      <c r="N19" s="295"/>
      <c r="O19" s="295"/>
      <c r="P19" s="122"/>
      <c r="Q19" s="122"/>
      <c r="S19" s="128">
        <f>S18+1</f>
        <v>2</v>
      </c>
      <c r="T19" s="140" t="s">
        <v>183</v>
      </c>
      <c r="U19" s="46">
        <f t="shared" ref="U19:U41" ca="1" si="2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 t="e">
        <f ca="1">IF(AND(DAY(V17)&gt;=6,DAY(V17)&lt;=20),DATE(YEAR(V17),MONTH(V17)+1,DAY(20)),IF(AND(DAY(V17)&gt;=21,DAY(V17)&lt;=31),DATE(YEAR(V17),MONTH(V17)+1,IF(DAY(EOMONTH(V17,1))&lt;30,DAY(EOMONTH(V17,1)),DAY(30))),DATE(YEAR(V17),MONTH(V17)+1,DAY(5))))</f>
        <v>#REF!</v>
      </c>
    </row>
    <row r="20" spans="1:48" ht="18.75" customHeight="1">
      <c r="A20" s="30"/>
      <c r="B20" s="35"/>
      <c r="C20" s="35"/>
      <c r="D20" s="26"/>
      <c r="E20" s="19"/>
      <c r="F20" s="47"/>
      <c r="G20" s="48"/>
      <c r="H20" s="49"/>
      <c r="I20" s="49"/>
      <c r="J20" s="19"/>
      <c r="K20" s="17"/>
      <c r="L20" s="17"/>
      <c r="M20" s="68"/>
      <c r="N20" s="309"/>
      <c r="O20" s="309"/>
      <c r="P20" s="122"/>
      <c r="Q20" s="122"/>
      <c r="S20" s="128">
        <f t="shared" ref="S20:S41" si="3">S19+1</f>
        <v>3</v>
      </c>
      <c r="T20" s="140" t="s">
        <v>186</v>
      </c>
      <c r="U20" s="46">
        <f t="shared" ca="1" si="2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8.75" customHeight="1">
      <c r="A21" s="32"/>
      <c r="B21" s="44" t="s">
        <v>188</v>
      </c>
      <c r="C21" s="45"/>
      <c r="D21" s="26" t="s">
        <v>73</v>
      </c>
      <c r="E21" s="50">
        <f>'Pricelist Standard'!AD7</f>
        <v>7.0000000000000007E-2</v>
      </c>
      <c r="F21" s="548">
        <f>E21*F15</f>
        <v>623000.00000000012</v>
      </c>
      <c r="G21" s="549"/>
      <c r="H21" s="549"/>
      <c r="I21" s="550"/>
      <c r="J21" s="19"/>
      <c r="K21" s="17"/>
      <c r="L21" s="17"/>
      <c r="M21" s="68"/>
      <c r="N21" s="309"/>
      <c r="O21" s="309"/>
      <c r="P21" s="122"/>
      <c r="Q21" s="122"/>
      <c r="S21" s="128">
        <f t="shared" si="3"/>
        <v>4</v>
      </c>
      <c r="T21" s="140" t="s">
        <v>189</v>
      </c>
      <c r="U21" s="46">
        <f t="shared" ca="1" si="2"/>
        <v>45981</v>
      </c>
      <c r="Y21" s="136"/>
      <c r="AV21" s="1"/>
    </row>
    <row r="22" spans="1:48" ht="13.15" customHeight="1">
      <c r="A22" s="18"/>
      <c r="B22" s="35"/>
      <c r="C22" s="20"/>
      <c r="D22" s="26"/>
      <c r="E22" s="17"/>
      <c r="F22" s="47"/>
      <c r="G22" s="47"/>
      <c r="H22" s="47"/>
      <c r="I22" s="47"/>
      <c r="J22" s="19"/>
      <c r="N22" s="555"/>
      <c r="O22" s="555"/>
      <c r="S22" s="128">
        <f t="shared" si="3"/>
        <v>5</v>
      </c>
      <c r="T22" s="140" t="s">
        <v>190</v>
      </c>
      <c r="U22" s="46">
        <f t="shared" ca="1" si="2"/>
        <v>46011</v>
      </c>
      <c r="AV22" s="1"/>
    </row>
    <row r="23" spans="1:48" ht="13.15" customHeight="1">
      <c r="A23" s="18"/>
      <c r="B23" s="44" t="s">
        <v>17</v>
      </c>
      <c r="C23" s="45"/>
      <c r="D23" s="17" t="s">
        <v>73</v>
      </c>
      <c r="E23" s="51"/>
      <c r="F23" s="476">
        <f>F18+F21</f>
        <v>8855500</v>
      </c>
      <c r="G23" s="477"/>
      <c r="H23" s="477"/>
      <c r="I23" s="478"/>
      <c r="J23" s="19"/>
      <c r="K23" s="19" t="s">
        <v>218</v>
      </c>
      <c r="L23" s="18"/>
      <c r="M23" s="18"/>
      <c r="N23" s="18"/>
      <c r="O23" s="19" t="s">
        <v>219</v>
      </c>
      <c r="P23" s="18"/>
      <c r="Q23" s="18"/>
      <c r="S23" s="128">
        <f t="shared" si="3"/>
        <v>6</v>
      </c>
      <c r="T23" s="140" t="s">
        <v>191</v>
      </c>
      <c r="U23" s="46">
        <f t="shared" ca="1" si="2"/>
        <v>46042</v>
      </c>
      <c r="AV23" s="1"/>
    </row>
    <row r="24" spans="1:48" ht="15" customHeight="1">
      <c r="A24" s="18"/>
      <c r="B24" s="35"/>
      <c r="C24" s="20"/>
      <c r="D24" s="26"/>
      <c r="E24" s="52"/>
      <c r="F24" s="155"/>
      <c r="G24" s="54"/>
      <c r="H24" s="54"/>
      <c r="I24" s="55"/>
      <c r="J24" s="19"/>
      <c r="K24"/>
      <c r="L24" s="18"/>
      <c r="M24" s="26"/>
      <c r="N24" s="18"/>
      <c r="O24" s="18"/>
      <c r="P24" s="18"/>
      <c r="Q24" s="18"/>
      <c r="S24" s="128">
        <f t="shared" si="3"/>
        <v>7</v>
      </c>
      <c r="T24" s="140" t="s">
        <v>192</v>
      </c>
      <c r="U24" s="46">
        <f t="shared" ca="1" si="2"/>
        <v>46073</v>
      </c>
      <c r="AV24" s="1"/>
    </row>
    <row r="25" spans="1:48" ht="13.15" customHeight="1">
      <c r="A25" s="18"/>
      <c r="B25" s="561" t="s">
        <v>288</v>
      </c>
      <c r="C25" s="561"/>
      <c r="D25" s="40" t="s">
        <v>73</v>
      </c>
      <c r="E25" s="56">
        <v>1</v>
      </c>
      <c r="F25" s="476">
        <f>F23*E25</f>
        <v>8855500</v>
      </c>
      <c r="G25" s="477"/>
      <c r="H25" s="477"/>
      <c r="I25" s="478"/>
      <c r="J25" s="19"/>
      <c r="K25" s="18"/>
      <c r="L25" s="18"/>
      <c r="M25" s="26"/>
      <c r="N25" s="18"/>
      <c r="O25" s="18"/>
      <c r="P25" s="18"/>
      <c r="Q25" s="18"/>
      <c r="S25" s="128">
        <f t="shared" si="3"/>
        <v>8</v>
      </c>
      <c r="T25" s="140" t="s">
        <v>194</v>
      </c>
      <c r="U25" s="46">
        <f t="shared" ca="1" si="2"/>
        <v>46101</v>
      </c>
      <c r="AV25" s="1"/>
    </row>
    <row r="26" spans="1:48" ht="13.15" customHeight="1">
      <c r="A26" s="18"/>
      <c r="B26" s="564" t="s">
        <v>289</v>
      </c>
      <c r="C26" s="564"/>
      <c r="D26" s="42" t="str">
        <f>D25</f>
        <v>:</v>
      </c>
      <c r="E26" s="57"/>
      <c r="F26" s="58">
        <f>FORM!E8</f>
        <v>50000</v>
      </c>
      <c r="G26" s="58"/>
      <c r="H26" s="499"/>
      <c r="I26" s="500"/>
      <c r="J26" s="19"/>
      <c r="K26" s="491" t="str">
        <f>FORM!E20</f>
        <v>SELLER The Aguirre Townhouse Las Piñas</v>
      </c>
      <c r="L26" s="491"/>
      <c r="M26" s="491"/>
      <c r="N26" s="19"/>
      <c r="O26" s="491" t="str">
        <f>FORM!E16</f>
        <v>BUYER The Aguirre Townhouse Las Piñas</v>
      </c>
      <c r="P26" s="491"/>
      <c r="Q26" s="491"/>
      <c r="S26" s="128">
        <f t="shared" si="3"/>
        <v>9</v>
      </c>
      <c r="T26" s="140" t="s">
        <v>196</v>
      </c>
      <c r="U26" s="46">
        <f t="shared" ca="1" si="2"/>
        <v>46132</v>
      </c>
      <c r="AV26" s="1"/>
    </row>
    <row r="27" spans="1:48" ht="13.15" customHeight="1">
      <c r="A27" s="18"/>
      <c r="B27" s="561" t="s">
        <v>290</v>
      </c>
      <c r="C27" s="561"/>
      <c r="D27" s="17" t="s">
        <v>73</v>
      </c>
      <c r="E27" s="59"/>
      <c r="F27" s="476">
        <f>F25-F26</f>
        <v>8805500</v>
      </c>
      <c r="G27" s="477"/>
      <c r="H27" s="477"/>
      <c r="I27" s="478"/>
      <c r="J27" s="19"/>
      <c r="K27" s="86" t="s">
        <v>224</v>
      </c>
      <c r="L27" s="487"/>
      <c r="M27" s="487"/>
      <c r="N27" s="18"/>
      <c r="O27" s="488" t="s">
        <v>225</v>
      </c>
      <c r="P27" s="488"/>
      <c r="Q27" s="488"/>
      <c r="S27" s="128">
        <f t="shared" si="3"/>
        <v>10</v>
      </c>
      <c r="T27" s="140" t="s">
        <v>198</v>
      </c>
      <c r="U27" s="46">
        <f t="shared" ca="1" si="2"/>
        <v>46162</v>
      </c>
      <c r="AV27" s="1"/>
    </row>
    <row r="28" spans="1:48" ht="13.15" customHeight="1">
      <c r="A28" s="18"/>
      <c r="B28" s="20"/>
      <c r="C28" s="35"/>
      <c r="D28" s="65"/>
      <c r="E28" s="65"/>
      <c r="F28" s="65"/>
      <c r="G28" s="70"/>
      <c r="H28" s="70"/>
      <c r="I28" s="70"/>
      <c r="J28" s="19"/>
      <c r="K28" s="89"/>
      <c r="L28" s="89"/>
      <c r="M28" s="89"/>
      <c r="N28" s="89"/>
      <c r="O28" s="89"/>
      <c r="P28" s="90"/>
      <c r="Q28" s="90"/>
      <c r="S28" s="128">
        <f t="shared" si="3"/>
        <v>11</v>
      </c>
      <c r="T28" s="140" t="s">
        <v>200</v>
      </c>
      <c r="U28" s="46">
        <f t="shared" ca="1" si="2"/>
        <v>46193</v>
      </c>
      <c r="AV28" s="1"/>
    </row>
    <row r="29" spans="1:48">
      <c r="A29" s="18"/>
      <c r="B29"/>
      <c r="C29"/>
      <c r="D29"/>
      <c r="E29"/>
      <c r="F29"/>
      <c r="G29"/>
      <c r="H29"/>
      <c r="I29"/>
      <c r="J29" s="19"/>
      <c r="K29" s="92"/>
      <c r="L29" s="18"/>
      <c r="M29" s="39"/>
      <c r="N29" s="18"/>
      <c r="O29" s="18"/>
      <c r="P29" s="18"/>
      <c r="Q29" s="18"/>
      <c r="S29" s="128">
        <f t="shared" si="3"/>
        <v>12</v>
      </c>
      <c r="T29" s="140" t="s">
        <v>201</v>
      </c>
      <c r="U29" s="46">
        <f t="shared" ca="1" si="2"/>
        <v>46223</v>
      </c>
      <c r="AV29" s="1"/>
    </row>
    <row r="30" spans="1:48">
      <c r="A30" s="18"/>
      <c r="B30"/>
      <c r="C30"/>
      <c r="D30"/>
      <c r="E30"/>
      <c r="F30"/>
      <c r="G30"/>
      <c r="H30"/>
      <c r="I30"/>
      <c r="J30" s="19"/>
      <c r="K30" s="92"/>
      <c r="L30" s="18"/>
      <c r="M30" s="39"/>
      <c r="N30" s="18"/>
      <c r="O30" s="18"/>
      <c r="P30" s="18"/>
      <c r="Q30" s="18"/>
      <c r="S30" s="128">
        <f t="shared" si="3"/>
        <v>13</v>
      </c>
      <c r="T30" s="140" t="s">
        <v>264</v>
      </c>
      <c r="U30" s="46">
        <f t="shared" ca="1" si="2"/>
        <v>46254</v>
      </c>
      <c r="AV30" s="1"/>
    </row>
    <row r="31" spans="1:48">
      <c r="A31" s="18"/>
      <c r="B31"/>
      <c r="C31"/>
      <c r="D31"/>
      <c r="E31"/>
      <c r="F31"/>
      <c r="G31"/>
      <c r="H31"/>
      <c r="I31"/>
      <c r="J31" s="19"/>
      <c r="K31" s="92"/>
      <c r="L31" s="18"/>
      <c r="M31" s="39"/>
      <c r="N31" s="18"/>
      <c r="O31" s="18"/>
      <c r="P31" s="18"/>
      <c r="Q31" s="18"/>
      <c r="S31" s="128">
        <f t="shared" si="3"/>
        <v>14</v>
      </c>
      <c r="T31" s="140" t="s">
        <v>265</v>
      </c>
      <c r="U31" s="46">
        <f t="shared" ca="1" si="2"/>
        <v>46285</v>
      </c>
      <c r="AV31" s="1"/>
    </row>
    <row r="32" spans="1:48">
      <c r="A32" s="18"/>
      <c r="B32"/>
      <c r="C32"/>
      <c r="D32"/>
      <c r="E32"/>
      <c r="F32"/>
      <c r="G32"/>
      <c r="H32"/>
      <c r="I32"/>
      <c r="J32" s="19"/>
      <c r="K32" s="92"/>
      <c r="L32" s="18"/>
      <c r="M32" s="39"/>
      <c r="N32" s="18"/>
      <c r="O32" s="18"/>
      <c r="P32" s="18"/>
      <c r="Q32" s="18"/>
      <c r="S32" s="128">
        <f t="shared" si="3"/>
        <v>15</v>
      </c>
      <c r="T32" s="140" t="s">
        <v>266</v>
      </c>
      <c r="U32" s="46">
        <f t="shared" ca="1" si="2"/>
        <v>46315</v>
      </c>
      <c r="AV32" s="1"/>
    </row>
    <row r="33" spans="1:48">
      <c r="A33" s="18"/>
      <c r="B33"/>
      <c r="C33"/>
      <c r="D33"/>
      <c r="E33"/>
      <c r="F33"/>
      <c r="G33"/>
      <c r="H33"/>
      <c r="I33"/>
      <c r="J33" s="19"/>
      <c r="K33" s="92"/>
      <c r="L33" s="18"/>
      <c r="M33" s="39"/>
      <c r="N33" s="18"/>
      <c r="O33" s="18"/>
      <c r="P33" s="18"/>
      <c r="Q33" s="18"/>
      <c r="S33" s="128">
        <f t="shared" si="3"/>
        <v>16</v>
      </c>
      <c r="T33" s="140" t="s">
        <v>267</v>
      </c>
      <c r="U33" s="46">
        <f t="shared" ca="1" si="2"/>
        <v>46346</v>
      </c>
      <c r="AV33" s="1"/>
    </row>
    <row r="34" spans="1:48">
      <c r="A34" s="18"/>
      <c r="B34"/>
      <c r="C34"/>
      <c r="D34"/>
      <c r="E34"/>
      <c r="F34"/>
      <c r="G34"/>
      <c r="H34"/>
      <c r="I34"/>
      <c r="J34" s="17"/>
      <c r="K34" s="92"/>
      <c r="L34" s="18"/>
      <c r="M34" s="39"/>
      <c r="N34" s="18"/>
      <c r="O34" s="18"/>
      <c r="P34" s="18"/>
      <c r="Q34" s="18"/>
      <c r="S34" s="128">
        <f t="shared" si="3"/>
        <v>17</v>
      </c>
      <c r="T34" s="140" t="s">
        <v>268</v>
      </c>
      <c r="U34" s="46">
        <f t="shared" ca="1" si="2"/>
        <v>46376</v>
      </c>
      <c r="AV34" s="1"/>
    </row>
    <row r="35" spans="1:48">
      <c r="A35" s="18"/>
      <c r="B35"/>
      <c r="C35"/>
      <c r="D35"/>
      <c r="E35"/>
      <c r="F35"/>
      <c r="G35"/>
      <c r="H35"/>
      <c r="I35"/>
      <c r="J35" s="17"/>
      <c r="K35" s="92"/>
      <c r="L35" s="18"/>
      <c r="M35" s="39"/>
      <c r="N35" s="18"/>
      <c r="O35" s="18"/>
      <c r="P35" s="18"/>
      <c r="Q35" s="18"/>
      <c r="S35" s="128">
        <f t="shared" si="3"/>
        <v>18</v>
      </c>
      <c r="T35" s="140" t="s">
        <v>269</v>
      </c>
      <c r="U35" s="46">
        <f t="shared" ca="1" si="2"/>
        <v>46407</v>
      </c>
      <c r="AV35" s="1"/>
    </row>
    <row r="36" spans="1:48">
      <c r="A36" s="18"/>
      <c r="B36"/>
      <c r="C36"/>
      <c r="D36"/>
      <c r="E36"/>
      <c r="F36"/>
      <c r="G36"/>
      <c r="H36"/>
      <c r="I36"/>
      <c r="J36" s="74"/>
      <c r="K36" s="92"/>
      <c r="L36" s="18"/>
      <c r="M36" s="39"/>
      <c r="N36" s="18"/>
      <c r="O36" s="18"/>
      <c r="P36" s="18"/>
      <c r="Q36" s="18"/>
      <c r="S36" s="128">
        <f t="shared" si="3"/>
        <v>19</v>
      </c>
      <c r="T36" s="140" t="s">
        <v>270</v>
      </c>
      <c r="U36" s="46">
        <f t="shared" ca="1" si="2"/>
        <v>46438</v>
      </c>
      <c r="AV36" s="1"/>
    </row>
    <row r="37" spans="1:48">
      <c r="A37" s="18"/>
      <c r="B37"/>
      <c r="C37"/>
      <c r="D37"/>
      <c r="E37"/>
      <c r="F37"/>
      <c r="G37"/>
      <c r="H37"/>
      <c r="I37"/>
      <c r="J37" s="19"/>
      <c r="K37" s="92"/>
      <c r="L37" s="18"/>
      <c r="M37" s="39"/>
      <c r="N37" s="18"/>
      <c r="O37" s="18"/>
      <c r="P37" s="18"/>
      <c r="Q37" s="18"/>
      <c r="S37" s="128">
        <f t="shared" si="3"/>
        <v>20</v>
      </c>
      <c r="T37" s="140" t="s">
        <v>271</v>
      </c>
      <c r="U37" s="46">
        <f t="shared" ca="1" si="2"/>
        <v>46466</v>
      </c>
      <c r="AV37" s="1"/>
    </row>
    <row r="38" spans="1:48">
      <c r="A38" s="18"/>
      <c r="B38"/>
      <c r="C38"/>
      <c r="D38"/>
      <c r="E38"/>
      <c r="F38"/>
      <c r="G38"/>
      <c r="H38"/>
      <c r="I38"/>
      <c r="J38" s="19"/>
      <c r="K38" s="92"/>
      <c r="L38" s="18"/>
      <c r="M38" s="39"/>
      <c r="N38" s="18"/>
      <c r="O38" s="18"/>
      <c r="P38" s="18"/>
      <c r="Q38" s="18"/>
      <c r="S38" s="128">
        <f t="shared" si="3"/>
        <v>21</v>
      </c>
      <c r="T38" s="140" t="s">
        <v>272</v>
      </c>
      <c r="U38" s="46">
        <f t="shared" ca="1" si="2"/>
        <v>46497</v>
      </c>
      <c r="AV38" s="1"/>
    </row>
    <row r="39" spans="1:48">
      <c r="A39" s="18"/>
      <c r="B39"/>
      <c r="C39"/>
      <c r="D39"/>
      <c r="E39"/>
      <c r="F39"/>
      <c r="G39"/>
      <c r="H39"/>
      <c r="I39"/>
      <c r="J39" s="19"/>
      <c r="K39" s="92"/>
      <c r="L39" s="18"/>
      <c r="M39" s="39"/>
      <c r="N39" s="18"/>
      <c r="O39" s="18"/>
      <c r="P39" s="18"/>
      <c r="Q39" s="18"/>
      <c r="S39" s="128">
        <f t="shared" si="3"/>
        <v>22</v>
      </c>
      <c r="T39" s="140" t="s">
        <v>273</v>
      </c>
      <c r="U39" s="46">
        <f t="shared" ca="1" si="2"/>
        <v>46527</v>
      </c>
      <c r="AV39" s="1"/>
    </row>
    <row r="40" spans="1:48">
      <c r="A40" s="18"/>
      <c r="B40"/>
      <c r="C40"/>
      <c r="D40"/>
      <c r="E40"/>
      <c r="F40"/>
      <c r="G40"/>
      <c r="H40"/>
      <c r="I40"/>
      <c r="J40" s="19"/>
      <c r="K40" s="92"/>
      <c r="L40" s="18"/>
      <c r="M40" s="39"/>
      <c r="N40" s="18"/>
      <c r="O40" s="18"/>
      <c r="P40" s="18"/>
      <c r="Q40" s="18"/>
      <c r="S40" s="128">
        <f t="shared" si="3"/>
        <v>23</v>
      </c>
      <c r="T40" s="140" t="s">
        <v>274</v>
      </c>
      <c r="U40" s="46">
        <f t="shared" ca="1" si="2"/>
        <v>46558</v>
      </c>
      <c r="AV40" s="1"/>
    </row>
    <row r="41" spans="1:48">
      <c r="A41" s="18"/>
      <c r="B41"/>
      <c r="C41"/>
      <c r="D41"/>
      <c r="E41"/>
      <c r="F41"/>
      <c r="G41"/>
      <c r="H41"/>
      <c r="I41"/>
      <c r="J41" s="19"/>
      <c r="K41" s="92"/>
      <c r="L41" s="18"/>
      <c r="M41" s="39"/>
      <c r="N41" s="18"/>
      <c r="O41" s="18"/>
      <c r="P41" s="18"/>
      <c r="Q41" s="18"/>
      <c r="S41" s="128">
        <f t="shared" si="3"/>
        <v>24</v>
      </c>
      <c r="T41" s="140" t="s">
        <v>275</v>
      </c>
      <c r="U41" s="46">
        <f t="shared" ca="1" si="2"/>
        <v>46588</v>
      </c>
      <c r="AV41" s="1"/>
    </row>
    <row r="42" spans="1:48">
      <c r="A42" s="18"/>
      <c r="B42"/>
      <c r="C42"/>
      <c r="D42"/>
      <c r="E42"/>
      <c r="F42"/>
      <c r="G42"/>
      <c r="H42"/>
      <c r="I42"/>
      <c r="J42" s="19"/>
      <c r="K42" s="92"/>
      <c r="L42" s="18"/>
      <c r="M42" s="39"/>
      <c r="N42" s="18"/>
      <c r="O42" s="18"/>
      <c r="P42" s="18"/>
      <c r="Q42" s="18"/>
      <c r="S42" s="18"/>
      <c r="T42" s="123"/>
      <c r="U42" s="46"/>
      <c r="AV42" s="1"/>
    </row>
    <row r="43" spans="1:48">
      <c r="A43" s="18"/>
      <c r="B43"/>
      <c r="C43"/>
      <c r="D43"/>
      <c r="E43"/>
      <c r="F43"/>
      <c r="G43"/>
      <c r="H43"/>
      <c r="I43"/>
      <c r="J43" s="19"/>
      <c r="K43" s="19"/>
      <c r="L43" s="18"/>
      <c r="M43" s="18"/>
      <c r="N43" s="18"/>
      <c r="O43" s="19"/>
      <c r="P43" s="18"/>
      <c r="Q43" s="18"/>
      <c r="S43" s="126"/>
      <c r="T43" s="123"/>
      <c r="U43" s="46"/>
      <c r="AV43" s="1"/>
    </row>
    <row r="44" spans="1:48">
      <c r="A44" s="18"/>
      <c r="B44"/>
      <c r="C44"/>
      <c r="D44"/>
      <c r="E44"/>
      <c r="F44"/>
      <c r="G44"/>
      <c r="H44"/>
      <c r="I44"/>
      <c r="J44" s="19"/>
      <c r="K44" s="18"/>
      <c r="L44" s="18"/>
      <c r="M44" s="26"/>
      <c r="N44" s="18"/>
      <c r="O44" s="18"/>
      <c r="P44" s="18"/>
      <c r="Q44" s="18"/>
      <c r="S44" s="71"/>
      <c r="T44" s="123"/>
      <c r="U44" s="46"/>
      <c r="AV44" s="1"/>
    </row>
    <row r="45" spans="1:48">
      <c r="A45" s="18"/>
      <c r="B45"/>
      <c r="C45"/>
      <c r="D45"/>
      <c r="E45"/>
      <c r="F45"/>
      <c r="G45"/>
      <c r="H45"/>
      <c r="I45"/>
      <c r="J45" s="19"/>
      <c r="K45" s="18"/>
      <c r="L45" s="18"/>
      <c r="M45" s="26"/>
      <c r="N45" s="18"/>
      <c r="O45" s="18"/>
      <c r="P45" s="18"/>
      <c r="Q45" s="18"/>
      <c r="S45" s="90"/>
      <c r="T45" s="123"/>
      <c r="U45" s="46"/>
      <c r="AV45" s="1"/>
    </row>
    <row r="46" spans="1:48" hidden="1">
      <c r="A46" s="18"/>
      <c r="C46" s="82"/>
      <c r="D46" s="83"/>
      <c r="E46" s="84"/>
      <c r="F46" s="486"/>
      <c r="G46" s="486"/>
      <c r="H46" s="85"/>
      <c r="I46" s="18"/>
      <c r="J46" s="19"/>
      <c r="K46" s="484"/>
      <c r="L46" s="484"/>
      <c r="M46" s="484"/>
      <c r="N46" s="19"/>
      <c r="O46" s="484"/>
      <c r="P46" s="484"/>
      <c r="Q46" s="484"/>
      <c r="S46" s="18"/>
      <c r="T46" s="123"/>
      <c r="U46" s="46"/>
      <c r="AV46" s="1"/>
    </row>
    <row r="47" spans="1:48" hidden="1">
      <c r="A47" s="18"/>
      <c r="C47" s="88"/>
      <c r="D47" s="26"/>
      <c r="E47" s="18"/>
      <c r="F47" s="18"/>
      <c r="G47" s="18"/>
      <c r="H47" s="18"/>
      <c r="I47" s="18"/>
      <c r="J47" s="19"/>
      <c r="K47" s="18"/>
      <c r="L47" s="474"/>
      <c r="M47" s="474"/>
      <c r="N47" s="18"/>
      <c r="O47" s="485"/>
      <c r="P47" s="485"/>
      <c r="Q47" s="485"/>
      <c r="S47" s="18"/>
      <c r="T47" s="123"/>
      <c r="U47" s="46"/>
      <c r="AV47" s="1"/>
    </row>
    <row r="48" spans="1:48">
      <c r="A48" s="18"/>
      <c r="C48" s="18"/>
      <c r="D48" s="26"/>
      <c r="E48" s="18"/>
      <c r="F48" s="18"/>
      <c r="G48" s="18"/>
      <c r="H48" s="18"/>
      <c r="I48" s="18"/>
      <c r="J48" s="19"/>
      <c r="K48" s="92"/>
      <c r="L48" s="18"/>
      <c r="M48" s="84"/>
      <c r="N48" s="18"/>
      <c r="O48" s="18"/>
      <c r="P48" s="18"/>
      <c r="Q48" s="18"/>
      <c r="S48" s="18"/>
      <c r="T48" s="123"/>
      <c r="U48" s="46"/>
      <c r="AV48" s="1"/>
    </row>
    <row r="49" spans="1:48">
      <c r="A49" s="18"/>
      <c r="C49" s="88"/>
      <c r="D49" s="26"/>
      <c r="E49" s="18"/>
      <c r="F49" s="18"/>
      <c r="G49" s="18"/>
      <c r="H49" s="18"/>
      <c r="I49" s="18"/>
      <c r="J49" s="19"/>
      <c r="K49" s="92"/>
      <c r="L49" s="18"/>
      <c r="M49" s="84"/>
      <c r="N49" s="18"/>
      <c r="O49" s="18"/>
      <c r="P49" s="18"/>
      <c r="Q49" s="18"/>
      <c r="S49" s="18"/>
      <c r="T49" s="123"/>
      <c r="U49" s="46"/>
      <c r="AV49" s="1"/>
    </row>
    <row r="50" spans="1:48">
      <c r="A50" s="18"/>
      <c r="B50" s="93"/>
      <c r="C50" s="18"/>
      <c r="D50" s="18"/>
      <c r="E50" s="18"/>
      <c r="F50" s="18"/>
      <c r="G50" s="18"/>
      <c r="H50" s="18"/>
      <c r="I50" s="18"/>
      <c r="J50" s="19"/>
      <c r="K50" s="92"/>
      <c r="L50" s="18"/>
      <c r="M50" s="39"/>
      <c r="N50" s="18"/>
      <c r="O50" s="18"/>
      <c r="P50" s="18"/>
      <c r="Q50" s="18"/>
      <c r="S50" s="18"/>
      <c r="T50" s="123"/>
      <c r="U50" s="46"/>
      <c r="AV50" s="1"/>
    </row>
    <row r="51" spans="1:48">
      <c r="A51" s="18"/>
      <c r="J51" s="19"/>
      <c r="K51" s="92"/>
      <c r="L51" s="18"/>
      <c r="M51" s="39"/>
      <c r="N51" s="18"/>
      <c r="O51" s="18"/>
      <c r="P51" s="18"/>
      <c r="Q51" s="18"/>
      <c r="S51" s="18"/>
      <c r="T51" s="123" t="s">
        <v>234</v>
      </c>
      <c r="U51" s="46"/>
      <c r="AL51" s="87">
        <v>3128865.99</v>
      </c>
      <c r="AV51" s="1"/>
    </row>
    <row r="52" spans="1:48">
      <c r="A52" s="18"/>
      <c r="J52" s="19"/>
      <c r="K52" s="92"/>
      <c r="L52" s="18"/>
      <c r="M52" s="39"/>
      <c r="N52" s="18"/>
      <c r="O52" s="18"/>
      <c r="P52" s="18"/>
      <c r="Q52" s="18"/>
      <c r="S52" s="18"/>
      <c r="T52" s="123" t="s">
        <v>235</v>
      </c>
      <c r="U52" s="46"/>
      <c r="AV52" s="1"/>
    </row>
    <row r="53" spans="1:48">
      <c r="A53" s="18"/>
      <c r="J53" s="19"/>
      <c r="K53" s="92"/>
      <c r="L53" s="18"/>
      <c r="M53" s="39"/>
      <c r="N53" s="18"/>
      <c r="O53" s="18"/>
      <c r="P53" s="18"/>
      <c r="Q53" s="18"/>
      <c r="S53" s="18"/>
      <c r="T53" s="123" t="s">
        <v>236</v>
      </c>
      <c r="U53" s="46"/>
      <c r="AV53" s="1"/>
    </row>
    <row r="54" spans="1:48">
      <c r="A54" s="18"/>
      <c r="J54" s="17"/>
      <c r="K54" s="92"/>
      <c r="L54" s="18"/>
      <c r="M54" s="39"/>
      <c r="N54" s="18"/>
      <c r="O54" s="18"/>
      <c r="P54" s="18"/>
      <c r="Q54" s="18"/>
      <c r="S54" s="18"/>
      <c r="T54" s="123" t="s">
        <v>237</v>
      </c>
      <c r="U54" s="46"/>
      <c r="AV54" s="1"/>
    </row>
    <row r="55" spans="1:48">
      <c r="A55" s="18"/>
      <c r="J55" s="26"/>
      <c r="K55" s="92"/>
      <c r="L55" s="18"/>
      <c r="M55" s="39"/>
      <c r="N55" s="18"/>
      <c r="O55" s="18"/>
      <c r="P55" s="18"/>
      <c r="Q55" s="18"/>
      <c r="S55" s="18"/>
      <c r="T55" s="123" t="s">
        <v>238</v>
      </c>
      <c r="U55" s="46"/>
      <c r="AV55" s="1"/>
    </row>
    <row r="56" spans="1:48">
      <c r="A56" s="18"/>
      <c r="J56" s="26"/>
      <c r="K56" s="92"/>
      <c r="L56" s="18"/>
      <c r="M56" s="39"/>
      <c r="N56" s="18"/>
      <c r="O56" s="18"/>
      <c r="P56" s="18"/>
      <c r="Q56" s="18"/>
      <c r="S56" s="18"/>
      <c r="T56" s="123" t="s">
        <v>239</v>
      </c>
      <c r="U56" s="46"/>
      <c r="AV56" s="1"/>
    </row>
    <row r="57" spans="1:48">
      <c r="A57" s="18"/>
      <c r="J57" s="26"/>
      <c r="K57" s="92"/>
      <c r="L57" s="18"/>
      <c r="M57" s="39"/>
      <c r="N57" s="18"/>
      <c r="O57" s="18"/>
      <c r="P57" s="18"/>
      <c r="Q57" s="18"/>
      <c r="S57" s="18"/>
      <c r="T57" s="123"/>
      <c r="U57" s="46"/>
      <c r="AH57" s="1"/>
      <c r="AU57" s="1"/>
      <c r="AV57" s="1"/>
    </row>
    <row r="58" spans="1:48">
      <c r="A58" s="18"/>
      <c r="B58" s="482"/>
      <c r="C58" s="482"/>
      <c r="D58" s="482"/>
      <c r="E58" s="482"/>
      <c r="F58" s="482"/>
      <c r="G58" s="483"/>
      <c r="H58" s="483"/>
      <c r="I58" s="483"/>
      <c r="J58" s="26"/>
      <c r="K58" s="92"/>
      <c r="L58" s="18"/>
      <c r="M58" s="39"/>
      <c r="N58" s="18"/>
      <c r="O58" s="18"/>
      <c r="P58" s="18"/>
      <c r="Q58" s="18"/>
      <c r="S58" s="18"/>
      <c r="T58" s="123"/>
      <c r="U58" s="46"/>
      <c r="AH58" s="1"/>
      <c r="AU58" s="1"/>
      <c r="AV58" s="1"/>
    </row>
    <row r="59" spans="1:48" ht="15" customHeight="1">
      <c r="A59" s="18"/>
      <c r="B59" s="482"/>
      <c r="C59" s="482"/>
      <c r="D59" s="482"/>
      <c r="E59" s="482"/>
      <c r="F59" s="482"/>
      <c r="G59" s="483"/>
      <c r="H59" s="483"/>
      <c r="I59" s="483"/>
      <c r="J59" s="17"/>
      <c r="K59" s="92"/>
      <c r="L59" s="18"/>
      <c r="M59" s="39"/>
      <c r="N59" s="18"/>
      <c r="O59" s="18"/>
      <c r="P59" s="18"/>
      <c r="Q59" s="18"/>
      <c r="S59" s="18"/>
      <c r="T59" s="132"/>
      <c r="U59" s="46"/>
      <c r="AH59" s="1"/>
      <c r="AU59" s="1"/>
      <c r="AV59" s="1"/>
    </row>
    <row r="60" spans="1:48">
      <c r="A60" s="18"/>
      <c r="B60" s="482"/>
      <c r="C60" s="482"/>
      <c r="D60" s="482"/>
      <c r="E60" s="482"/>
      <c r="F60" s="482"/>
      <c r="G60" s="483"/>
      <c r="H60" s="483"/>
      <c r="I60" s="483"/>
      <c r="J60" s="17"/>
      <c r="K60" s="92"/>
      <c r="L60" s="18"/>
      <c r="M60" s="39"/>
      <c r="N60" s="18"/>
      <c r="O60" s="18"/>
      <c r="P60" s="18"/>
      <c r="Q60" s="18"/>
      <c r="S60" s="18"/>
      <c r="T60" s="132"/>
      <c r="U60" s="46"/>
      <c r="AH60" s="1"/>
      <c r="AU60" s="1"/>
      <c r="AV60" s="1"/>
    </row>
    <row r="61" spans="1:48" ht="15" customHeight="1">
      <c r="A61" s="18"/>
      <c r="B61" s="482"/>
      <c r="C61" s="482"/>
      <c r="D61" s="482"/>
      <c r="E61" s="482"/>
      <c r="F61" s="482"/>
      <c r="G61" s="483"/>
      <c r="H61" s="483"/>
      <c r="I61" s="483"/>
      <c r="J61" s="71"/>
      <c r="K61" s="92"/>
      <c r="L61" s="18"/>
      <c r="M61" s="39"/>
      <c r="N61" s="18"/>
      <c r="O61" s="18"/>
      <c r="P61" s="18"/>
      <c r="Q61" s="18"/>
      <c r="S61" s="18"/>
      <c r="T61" s="123"/>
      <c r="U61" s="46"/>
      <c r="AH61" s="1"/>
      <c r="AU61" s="1"/>
      <c r="AV61" s="1"/>
    </row>
    <row r="62" spans="1:48">
      <c r="A62" s="18"/>
      <c r="B62" s="482"/>
      <c r="C62" s="482"/>
      <c r="D62" s="482"/>
      <c r="E62" s="482"/>
      <c r="F62" s="482"/>
      <c r="G62" s="483"/>
      <c r="H62" s="483"/>
      <c r="I62" s="483"/>
      <c r="J62" s="71"/>
      <c r="K62" s="92"/>
      <c r="L62" s="18"/>
      <c r="M62" s="39"/>
      <c r="N62" s="18"/>
      <c r="O62" s="18"/>
      <c r="P62" s="18"/>
      <c r="Q62" s="18"/>
      <c r="S62" s="18"/>
      <c r="T62" s="123"/>
      <c r="U62" s="46"/>
      <c r="AH62" s="1"/>
      <c r="AU62" s="1"/>
      <c r="AV62" s="1"/>
    </row>
    <row r="63" spans="1:48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S63" s="126"/>
      <c r="T63" s="123"/>
      <c r="U63" s="46"/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S64" s="71"/>
      <c r="T64" s="123" t="s">
        <v>240</v>
      </c>
      <c r="U64" s="46"/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S65" s="18"/>
      <c r="T65" s="123" t="s">
        <v>241</v>
      </c>
      <c r="U65" s="46"/>
      <c r="AH65" s="1"/>
      <c r="AU65" s="1"/>
      <c r="AV65" s="1"/>
    </row>
    <row r="66" spans="1:48">
      <c r="A66" s="18"/>
      <c r="B66" s="93"/>
      <c r="C66" s="18"/>
      <c r="D66" s="18"/>
      <c r="E66" s="18"/>
      <c r="F66" s="18"/>
      <c r="G66" s="18"/>
      <c r="H66" s="18"/>
      <c r="I66" s="18"/>
      <c r="J66" s="18"/>
      <c r="K66" s="92"/>
      <c r="L66" s="18"/>
      <c r="M66" s="39"/>
      <c r="N66" s="18"/>
      <c r="O66" s="18"/>
      <c r="P66" s="18"/>
      <c r="Q66" s="18"/>
      <c r="S66" s="18"/>
      <c r="T66" s="123" t="s">
        <v>242</v>
      </c>
      <c r="U66" s="46"/>
      <c r="AH66" s="1"/>
      <c r="AU66" s="1"/>
      <c r="AV66" s="1"/>
    </row>
    <row r="67" spans="1:48" ht="15" customHeight="1">
      <c r="A67" s="18"/>
      <c r="C67" s="93"/>
      <c r="D67" s="479"/>
      <c r="E67" s="480"/>
      <c r="F67" s="480"/>
      <c r="G67" s="18"/>
      <c r="H67" s="18"/>
      <c r="I67" s="18"/>
      <c r="J67" s="18"/>
      <c r="K67" s="92"/>
      <c r="L67" s="18"/>
      <c r="M67" s="39"/>
      <c r="N67" s="18"/>
      <c r="O67" s="18"/>
      <c r="P67" s="18"/>
      <c r="Q67" s="18"/>
      <c r="S67" s="18"/>
      <c r="T67" s="123" t="s">
        <v>243</v>
      </c>
      <c r="U67" s="46"/>
      <c r="AH67" s="1"/>
      <c r="AU67" s="1"/>
      <c r="AV67" s="1"/>
    </row>
    <row r="68" spans="1:48">
      <c r="A68" s="18"/>
      <c r="B68" s="93"/>
      <c r="C68" s="18"/>
      <c r="D68" s="94"/>
      <c r="E68" s="94"/>
      <c r="F68" s="18"/>
      <c r="G68" s="18"/>
      <c r="H68" s="18"/>
      <c r="I68" s="18"/>
      <c r="J68" s="18"/>
      <c r="K68" s="92"/>
      <c r="L68" s="18"/>
      <c r="M68" s="39"/>
      <c r="N68" s="18"/>
      <c r="O68" s="18"/>
      <c r="P68" s="18"/>
      <c r="Q68" s="18"/>
      <c r="S68" s="18"/>
      <c r="T68" s="123" t="s">
        <v>244</v>
      </c>
      <c r="U68" s="46"/>
      <c r="AH68" s="1"/>
      <c r="AU68" s="1"/>
      <c r="AV68" s="1"/>
    </row>
    <row r="69" spans="1:48" ht="12.75" customHeight="1">
      <c r="A69" s="18"/>
      <c r="B69" s="93"/>
      <c r="C69" s="18"/>
      <c r="D69" s="94"/>
      <c r="E69" s="94"/>
      <c r="F69" s="18"/>
      <c r="G69" s="18"/>
      <c r="H69" s="18"/>
      <c r="I69" s="18"/>
      <c r="J69" s="71"/>
      <c r="K69" s="92"/>
      <c r="L69" s="18"/>
      <c r="M69" s="39"/>
      <c r="N69" s="18"/>
      <c r="O69" s="18"/>
      <c r="P69" s="18"/>
      <c r="Q69" s="18"/>
      <c r="S69" s="18"/>
      <c r="T69" s="123" t="s">
        <v>245</v>
      </c>
      <c r="U69" s="46"/>
      <c r="AH69" s="1"/>
      <c r="AU69" s="1"/>
      <c r="AV69" s="1"/>
    </row>
    <row r="70" spans="1:48">
      <c r="A70" s="18"/>
      <c r="B70" s="93"/>
      <c r="C70" s="18"/>
      <c r="D70" s="94"/>
      <c r="E70" s="94"/>
      <c r="F70" s="18"/>
      <c r="G70" s="18"/>
      <c r="H70" s="18"/>
      <c r="I70" s="18"/>
      <c r="J70" s="71"/>
      <c r="K70" s="92"/>
      <c r="L70" s="18"/>
      <c r="M70" s="39"/>
      <c r="N70" s="18"/>
      <c r="O70" s="18"/>
      <c r="P70" s="18"/>
      <c r="Q70" s="18"/>
      <c r="S70" s="18"/>
      <c r="T70" s="123" t="s">
        <v>246</v>
      </c>
      <c r="U70" s="46"/>
      <c r="AH70" s="1"/>
      <c r="AU70" s="1"/>
      <c r="AV70" s="1"/>
    </row>
    <row r="71" spans="1:48">
      <c r="A71" s="18"/>
      <c r="B71" s="93"/>
      <c r="C71" s="18"/>
      <c r="D71" s="94"/>
      <c r="E71" s="94"/>
      <c r="F71" s="18"/>
      <c r="G71" s="18"/>
      <c r="H71" s="18"/>
      <c r="I71" s="18"/>
      <c r="J71" s="71"/>
      <c r="K71" s="92"/>
      <c r="L71" s="18"/>
      <c r="M71" s="39"/>
      <c r="N71" s="18"/>
      <c r="O71" s="18"/>
      <c r="P71" s="18"/>
      <c r="Q71" s="18"/>
      <c r="S71" s="18"/>
      <c r="T71" s="123" t="s">
        <v>247</v>
      </c>
      <c r="U71" s="46"/>
      <c r="AH71" s="1"/>
      <c r="AU71" s="1"/>
      <c r="AV71" s="1"/>
    </row>
    <row r="72" spans="1:48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S72" s="18"/>
      <c r="T72" s="123" t="s">
        <v>248</v>
      </c>
      <c r="U72" s="46"/>
      <c r="AH72" s="1"/>
      <c r="AU72" s="1"/>
      <c r="AV72" s="1"/>
    </row>
    <row r="73" spans="1:48">
      <c r="A73" s="18"/>
      <c r="J73" s="71"/>
      <c r="K73" s="92"/>
      <c r="L73" s="18"/>
      <c r="M73" s="39"/>
      <c r="N73" s="18"/>
      <c r="O73" s="18"/>
      <c r="P73" s="18"/>
      <c r="Q73" s="18"/>
      <c r="S73" s="18"/>
      <c r="T73" s="123" t="s">
        <v>249</v>
      </c>
      <c r="U73" s="46"/>
      <c r="AH73" s="1"/>
      <c r="AU73" s="1"/>
      <c r="AV73" s="1"/>
    </row>
    <row r="74" spans="1:48">
      <c r="A74" s="18"/>
      <c r="J74" s="71"/>
      <c r="K74" s="92"/>
      <c r="L74" s="18"/>
      <c r="M74" s="39"/>
      <c r="N74" s="18"/>
      <c r="O74" s="18"/>
      <c r="P74" s="18"/>
      <c r="Q74" s="18"/>
      <c r="S74" s="18"/>
      <c r="T74" s="123" t="s">
        <v>250</v>
      </c>
      <c r="AH74" s="1"/>
      <c r="AU74" s="1"/>
      <c r="AV74" s="1"/>
    </row>
    <row r="75" spans="1:48">
      <c r="A75" s="18"/>
      <c r="J75" s="71"/>
      <c r="K75" s="92"/>
      <c r="L75" s="18"/>
      <c r="M75" s="39"/>
      <c r="N75" s="18"/>
      <c r="O75" s="18"/>
      <c r="P75" s="18"/>
      <c r="Q75" s="18"/>
      <c r="S75" s="18"/>
      <c r="AH75" s="1"/>
      <c r="AU75" s="1"/>
      <c r="AV75" s="1"/>
    </row>
    <row r="76" spans="1:48">
      <c r="A76" s="18"/>
      <c r="J76" s="71"/>
      <c r="K76" s="92"/>
      <c r="L76" s="18"/>
      <c r="M76" s="39"/>
      <c r="N76" s="18"/>
      <c r="O76" s="18"/>
      <c r="P76" s="18"/>
      <c r="Q76" s="18"/>
      <c r="S76" s="18"/>
      <c r="AH76" s="1"/>
      <c r="AU76" s="1"/>
      <c r="AV76" s="1"/>
    </row>
    <row r="77" spans="1:48">
      <c r="A77" s="18"/>
      <c r="J77" s="71"/>
      <c r="K77" s="92"/>
      <c r="L77" s="18"/>
      <c r="M77" s="39"/>
      <c r="N77" s="18"/>
      <c r="O77" s="18"/>
      <c r="P77" s="18"/>
      <c r="Q77" s="18"/>
      <c r="S77" s="18"/>
      <c r="AH77" s="1"/>
      <c r="AU77" s="1"/>
      <c r="AV77" s="1"/>
    </row>
    <row r="78" spans="1:48" ht="12" customHeight="1">
      <c r="A78" s="18"/>
      <c r="B78" s="93"/>
      <c r="C78" s="18"/>
      <c r="D78" s="18"/>
      <c r="E78" s="18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S78" s="18"/>
      <c r="AH78" s="1"/>
      <c r="AU78" s="1"/>
      <c r="AV78" s="1"/>
    </row>
    <row r="79" spans="1:48" ht="12" customHeight="1">
      <c r="A79" s="18"/>
      <c r="B79" s="93"/>
      <c r="C79" s="18"/>
      <c r="D79" s="18"/>
      <c r="E79" s="18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S79" s="18"/>
      <c r="AH79" s="1"/>
      <c r="AU79" s="1"/>
      <c r="AV79" s="1"/>
    </row>
    <row r="80" spans="1:48" ht="12" customHeight="1">
      <c r="A80" s="18"/>
      <c r="B80" s="93"/>
      <c r="C80" s="18"/>
      <c r="D80" s="18"/>
      <c r="E80" s="18"/>
      <c r="F80" s="18"/>
      <c r="G80" s="18"/>
      <c r="H80" s="18"/>
      <c r="I80" s="18"/>
      <c r="J80" s="71"/>
      <c r="K80" s="92"/>
      <c r="L80" s="18"/>
      <c r="M80" s="39"/>
      <c r="N80" s="18"/>
      <c r="O80" s="18"/>
      <c r="P80" s="18"/>
      <c r="Q80" s="18"/>
      <c r="S80" s="18"/>
      <c r="AH80" s="1"/>
      <c r="AU80" s="1"/>
      <c r="AV80" s="1"/>
    </row>
    <row r="81" spans="1:48" ht="12" customHeight="1">
      <c r="A81" s="18"/>
      <c r="B81" s="93"/>
      <c r="C81" s="18"/>
      <c r="D81" s="18"/>
      <c r="E81" s="18"/>
      <c r="F81" s="18"/>
      <c r="G81" s="18"/>
      <c r="H81" s="18"/>
      <c r="I81" s="18"/>
      <c r="J81" s="71"/>
      <c r="K81" s="92"/>
      <c r="L81" s="18"/>
      <c r="M81" s="39"/>
      <c r="N81" s="18"/>
      <c r="O81" s="18"/>
      <c r="P81" s="18"/>
      <c r="Q81" s="18"/>
      <c r="S81" s="18"/>
      <c r="AH81" s="1"/>
      <c r="AU81" s="1"/>
      <c r="AV81" s="1"/>
    </row>
    <row r="82" spans="1:48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S82" s="18"/>
      <c r="AH82" s="1"/>
      <c r="AU82" s="1"/>
      <c r="AV82" s="1"/>
    </row>
    <row r="83" spans="1:48" ht="12" customHeight="1">
      <c r="A83" s="18"/>
      <c r="B83" s="93"/>
      <c r="C83" s="18"/>
      <c r="D83" s="26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S83" s="18"/>
      <c r="AH83" s="1"/>
      <c r="AU83" s="1"/>
      <c r="AV83" s="1"/>
    </row>
    <row r="84" spans="1:48" ht="12" customHeight="1">
      <c r="A84" s="18"/>
      <c r="B84" s="93"/>
      <c r="C84" s="18"/>
      <c r="D84" s="26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S84" s="18"/>
      <c r="AH84" s="1"/>
      <c r="AU84" s="1"/>
      <c r="AV84" s="1"/>
    </row>
    <row r="85" spans="1:48" ht="12" customHeight="1">
      <c r="A85" s="18"/>
      <c r="B85" s="93"/>
      <c r="C85" s="18"/>
      <c r="D85" s="26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S85" s="18"/>
      <c r="AH85" s="1"/>
      <c r="AU85" s="1"/>
      <c r="AV85" s="1"/>
    </row>
    <row r="86" spans="1:48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S86" s="18"/>
      <c r="AH86" s="1"/>
      <c r="AU86" s="1"/>
      <c r="AV86" s="1"/>
    </row>
    <row r="87" spans="1:48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S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S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S89" s="18"/>
      <c r="AH89" s="1"/>
      <c r="AU89" s="1"/>
      <c r="AV89" s="1"/>
    </row>
    <row r="90" spans="1:48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S90" s="18"/>
      <c r="AH90" s="1"/>
      <c r="AU90" s="1"/>
      <c r="AV90" s="1"/>
    </row>
    <row r="91" spans="1:48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S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S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S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S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S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S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S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S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S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S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S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S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S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S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S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S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S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S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S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S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S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S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S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S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S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S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S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S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S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S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S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S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S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S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S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S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S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S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S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S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S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S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S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S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S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S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S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S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S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S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S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S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S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S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S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S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S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S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S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S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S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S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S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S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S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S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S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S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S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S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S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S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S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S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S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S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S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S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S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S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S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S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S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S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S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S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S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S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S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S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S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S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S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S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S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S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S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S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S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S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S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S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S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S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S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S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S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S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S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S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S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S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S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S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S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S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S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S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S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S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S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S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S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S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S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18"/>
      <c r="L216" s="18"/>
      <c r="M216" s="39"/>
      <c r="N216" s="18"/>
      <c r="O216" s="18"/>
      <c r="P216" s="18"/>
      <c r="Q216" s="18"/>
      <c r="S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18"/>
      <c r="L217" s="18"/>
      <c r="M217" s="26"/>
      <c r="N217" s="18"/>
      <c r="O217" s="18"/>
      <c r="P217" s="18"/>
      <c r="Q217" s="18"/>
      <c r="S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18"/>
      <c r="L218" s="18"/>
      <c r="M218" s="26"/>
      <c r="N218" s="18"/>
      <c r="O218" s="18"/>
      <c r="P218" s="18"/>
      <c r="Q218" s="18"/>
      <c r="S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18"/>
      <c r="L219" s="18"/>
      <c r="M219" s="26"/>
      <c r="N219" s="18"/>
      <c r="O219" s="18"/>
      <c r="P219" s="18"/>
      <c r="Q219" s="18"/>
      <c r="S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481"/>
      <c r="L220" s="481"/>
      <c r="M220" s="481"/>
      <c r="N220" s="18"/>
      <c r="O220" s="18"/>
      <c r="P220" s="481"/>
      <c r="Q220" s="481"/>
      <c r="S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18"/>
      <c r="L221" s="474"/>
      <c r="M221" s="474"/>
      <c r="N221" s="18"/>
      <c r="O221" s="18"/>
      <c r="P221" s="18"/>
      <c r="Q221" s="18"/>
      <c r="S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17"/>
      <c r="L222" s="18"/>
      <c r="M222" s="18"/>
      <c r="N222" s="18"/>
      <c r="O222" s="18"/>
      <c r="P222" s="18"/>
      <c r="Q222" s="18"/>
      <c r="S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19"/>
      <c r="L223" s="18"/>
      <c r="M223" s="18"/>
      <c r="N223" s="18"/>
      <c r="O223" s="18"/>
      <c r="P223" s="18"/>
      <c r="Q223" s="18"/>
      <c r="S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17"/>
      <c r="L224" s="1"/>
      <c r="S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4"/>
      <c r="L225" s="1"/>
      <c r="S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4"/>
      <c r="L226" s="1"/>
      <c r="S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4"/>
      <c r="L227" s="1"/>
      <c r="S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4"/>
      <c r="L228" s="1"/>
      <c r="S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4"/>
      <c r="L229" s="1"/>
      <c r="S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4"/>
      <c r="L230" s="1"/>
      <c r="S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4"/>
      <c r="L231" s="1"/>
      <c r="S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4"/>
      <c r="L232" s="1"/>
      <c r="S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4"/>
      <c r="L233" s="1"/>
      <c r="S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4"/>
      <c r="L234" s="1"/>
      <c r="S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"/>
      <c r="L235" s="1"/>
      <c r="S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4"/>
      <c r="L236" s="1"/>
      <c r="S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4"/>
      <c r="L237" s="1"/>
      <c r="S237" s="221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S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S239" s="18"/>
      <c r="AH239" s="1"/>
      <c r="AU239" s="1"/>
      <c r="AV239" s="1"/>
    </row>
    <row r="240" spans="1:48" ht="12" customHeight="1">
      <c r="A240" s="18"/>
      <c r="B240" s="18"/>
      <c r="C240" s="18"/>
      <c r="D240" s="26"/>
      <c r="E240" s="18"/>
      <c r="F240" s="18"/>
      <c r="G240" s="18"/>
      <c r="H240" s="18"/>
      <c r="I240" s="18"/>
      <c r="J240" s="71"/>
      <c r="S240" s="18"/>
      <c r="AH240" s="1"/>
      <c r="AU240" s="1"/>
      <c r="AV240" s="1"/>
    </row>
    <row r="241" spans="1:48" ht="12" customHeight="1">
      <c r="A241" s="18"/>
      <c r="B241" s="18"/>
      <c r="C241" s="18"/>
      <c r="D241" s="26"/>
      <c r="E241" s="18"/>
      <c r="F241" s="18"/>
      <c r="G241" s="18"/>
      <c r="H241" s="18"/>
      <c r="I241" s="18"/>
      <c r="J241" s="71"/>
      <c r="AH241" s="1"/>
      <c r="AU241" s="1"/>
      <c r="AV241" s="1"/>
    </row>
    <row r="242" spans="1:48" ht="12" customHeight="1">
      <c r="A242" s="18"/>
      <c r="B242" s="18"/>
      <c r="C242" s="18"/>
      <c r="D242" s="26"/>
      <c r="E242" s="18"/>
      <c r="F242" s="18"/>
      <c r="G242" s="18"/>
      <c r="H242" s="18"/>
      <c r="I242" s="18"/>
      <c r="J242" s="71"/>
      <c r="AH242" s="1"/>
      <c r="AU242" s="1"/>
      <c r="AV242" s="1"/>
    </row>
    <row r="243" spans="1:48" ht="12" customHeight="1">
      <c r="A243" s="18"/>
      <c r="B243" s="18"/>
      <c r="C243" s="18"/>
      <c r="D243" s="26"/>
      <c r="E243" s="18"/>
      <c r="F243" s="18"/>
      <c r="G243" s="18"/>
      <c r="H243" s="18"/>
      <c r="I243" s="18"/>
      <c r="J243" s="71"/>
      <c r="AH243" s="1"/>
      <c r="AU243" s="1"/>
      <c r="AV243" s="1"/>
    </row>
    <row r="244" spans="1:48" ht="12" customHeight="1">
      <c r="A244" s="18"/>
      <c r="B244" s="18"/>
      <c r="C244" s="18"/>
      <c r="D244" s="18"/>
      <c r="E244" s="18"/>
      <c r="F244" s="26"/>
      <c r="G244" s="26"/>
      <c r="H244" s="26"/>
      <c r="I244" s="26"/>
      <c r="J244" s="71"/>
      <c r="AH244" s="1"/>
      <c r="AU244" s="1"/>
      <c r="AV244" s="1"/>
    </row>
    <row r="245" spans="1:48" ht="12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71"/>
      <c r="AH245" s="1"/>
      <c r="AU245" s="1"/>
      <c r="AV245" s="1"/>
    </row>
    <row r="246" spans="1:48" ht="12" customHeight="1">
      <c r="A246" s="18"/>
      <c r="B246" s="18"/>
      <c r="C246" s="18"/>
      <c r="D246" s="97"/>
      <c r="E246" s="98"/>
      <c r="F246" s="98"/>
      <c r="G246" s="98"/>
      <c r="H246" s="98"/>
      <c r="I246" s="17"/>
      <c r="J246" s="71"/>
      <c r="AH246" s="1"/>
      <c r="AU246" s="1"/>
      <c r="AV246" s="1"/>
    </row>
    <row r="247" spans="1:48" ht="12" customHeight="1">
      <c r="A247" s="18"/>
      <c r="B247" s="18"/>
      <c r="C247" s="18"/>
      <c r="D247" s="97"/>
      <c r="E247" s="98"/>
      <c r="F247" s="98"/>
      <c r="G247" s="98"/>
      <c r="H247" s="98"/>
      <c r="I247" s="19"/>
      <c r="J247" s="71"/>
      <c r="AH247" s="1"/>
      <c r="AU247" s="1"/>
      <c r="AV247" s="1"/>
    </row>
    <row r="248" spans="1:48" ht="12" customHeight="1">
      <c r="A248" s="18"/>
      <c r="B248" s="95"/>
      <c r="D248" s="99"/>
      <c r="E248" s="100"/>
      <c r="F248" s="100"/>
      <c r="G248" s="100"/>
      <c r="H248" s="100"/>
      <c r="I248" s="17"/>
      <c r="J248" s="71"/>
      <c r="AH248" s="1"/>
      <c r="AU248" s="1"/>
      <c r="AV248" s="1"/>
    </row>
    <row r="249" spans="1:48" ht="12" customHeight="1">
      <c r="A249" s="18"/>
      <c r="D249" s="99"/>
      <c r="F249" s="100"/>
      <c r="G249" s="100"/>
      <c r="H249" s="100"/>
      <c r="J249" s="18"/>
      <c r="AH249" s="1"/>
      <c r="AU249" s="1"/>
      <c r="AV249" s="1"/>
    </row>
    <row r="250" spans="1:48" ht="12" customHeight="1">
      <c r="D250" s="99"/>
      <c r="E250" s="100"/>
      <c r="F250" s="100"/>
      <c r="G250" s="100"/>
      <c r="H250" s="100"/>
      <c r="J250" s="18"/>
      <c r="AH250" s="1"/>
      <c r="AU250" s="1"/>
      <c r="AV250" s="1"/>
    </row>
    <row r="251" spans="1:48" ht="12" customHeight="1">
      <c r="A251" s="95" t="e">
        <f>(F15-#REF!)*12%</f>
        <v>#REF!</v>
      </c>
      <c r="D251" s="99"/>
      <c r="E251" s="100"/>
      <c r="F251" s="100"/>
      <c r="G251" s="100"/>
      <c r="H251" s="100"/>
      <c r="J251" s="18"/>
      <c r="AH251" s="1"/>
      <c r="AU251" s="1"/>
      <c r="AV251" s="1"/>
    </row>
    <row r="252" spans="1:48" ht="12" customHeight="1">
      <c r="A252" s="96"/>
      <c r="D252" s="99"/>
      <c r="E252" s="100"/>
      <c r="F252" s="100"/>
      <c r="G252" s="100"/>
      <c r="H252" s="100"/>
      <c r="J252" s="18"/>
      <c r="AH252" s="1"/>
      <c r="AU252" s="1"/>
      <c r="AV252" s="1"/>
    </row>
    <row r="253" spans="1:48" ht="17.25" customHeight="1">
      <c r="D253" s="99"/>
      <c r="E253" s="100"/>
      <c r="F253" s="100"/>
      <c r="G253" s="100"/>
      <c r="H253" s="100"/>
      <c r="J253" s="18"/>
      <c r="AH253" s="1"/>
      <c r="AU253" s="1"/>
      <c r="AV253" s="1"/>
    </row>
    <row r="254" spans="1:48" ht="15.75" customHeight="1">
      <c r="D254" s="99"/>
      <c r="E254" s="100"/>
      <c r="F254" s="100"/>
      <c r="G254" s="100"/>
      <c r="H254" s="100"/>
      <c r="J254" s="18"/>
      <c r="AH254" s="1"/>
      <c r="AU254" s="1"/>
      <c r="AV254" s="1"/>
    </row>
    <row r="255" spans="1:48" ht="12.75" customHeight="1">
      <c r="D255" s="99"/>
      <c r="E255" s="100"/>
      <c r="F255" s="100"/>
      <c r="G255" s="100"/>
      <c r="H255" s="100"/>
      <c r="J255" s="18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J259" s="4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17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9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F788" s="100"/>
      <c r="G788" s="100"/>
      <c r="H788" s="100"/>
    </row>
    <row r="789" spans="4:8" ht="12.75" customHeight="1">
      <c r="D789" s="99"/>
      <c r="F789" s="100"/>
      <c r="G789" s="100"/>
      <c r="H789" s="100"/>
    </row>
    <row r="790" spans="4:8" ht="12.75" customHeight="1"/>
    <row r="791" spans="4:8" ht="12.75" customHeight="1"/>
    <row r="792" spans="4:8" ht="12.75" customHeight="1"/>
    <row r="793" spans="4:8" ht="12.75" customHeight="1"/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GFM4BwKPP6nJJLhj86cWptaDw/Rh7LIFwvuOyaItSudZQe7mj39HVBc4gURDuD7WIbnF03SKbxU3wY/v0lnqvA==" saltValue="yoHf4vdFp+BtBwkSqUpAsw==" spinCount="100000" sheet="1" selectLockedCells="1" selectUnlockedCells="1"/>
  <mergeCells count="83">
    <mergeCell ref="B4:I4"/>
    <mergeCell ref="K4:Q4"/>
    <mergeCell ref="E6:I6"/>
    <mergeCell ref="K6:L6"/>
    <mergeCell ref="N6:Q6"/>
    <mergeCell ref="E7:I7"/>
    <mergeCell ref="K7:L7"/>
    <mergeCell ref="N7:Q7"/>
    <mergeCell ref="E8:I8"/>
    <mergeCell ref="K8:L8"/>
    <mergeCell ref="N8:Q8"/>
    <mergeCell ref="E9:I9"/>
    <mergeCell ref="K9:L9"/>
    <mergeCell ref="N9:Q9"/>
    <mergeCell ref="E10:I10"/>
    <mergeCell ref="K10:L10"/>
    <mergeCell ref="N10:Q10"/>
    <mergeCell ref="E12:F12"/>
    <mergeCell ref="H12:I12"/>
    <mergeCell ref="K12:L12"/>
    <mergeCell ref="N12:O12"/>
    <mergeCell ref="P12:Q12"/>
    <mergeCell ref="E11:F11"/>
    <mergeCell ref="H11:I11"/>
    <mergeCell ref="K11:L11"/>
    <mergeCell ref="N11:O11"/>
    <mergeCell ref="P11:Q11"/>
    <mergeCell ref="F15:I15"/>
    <mergeCell ref="K15:L16"/>
    <mergeCell ref="M15:M16"/>
    <mergeCell ref="N15:O16"/>
    <mergeCell ref="P15:Q16"/>
    <mergeCell ref="E13:F13"/>
    <mergeCell ref="H13:I13"/>
    <mergeCell ref="K13:L13"/>
    <mergeCell ref="N13:O13"/>
    <mergeCell ref="P13:Q13"/>
    <mergeCell ref="W18:X18"/>
    <mergeCell ref="W19:X19"/>
    <mergeCell ref="F21:I21"/>
    <mergeCell ref="W20:X20"/>
    <mergeCell ref="F17:I17"/>
    <mergeCell ref="F18:I18"/>
    <mergeCell ref="K17:L17"/>
    <mergeCell ref="N17:O17"/>
    <mergeCell ref="P17:Q17"/>
    <mergeCell ref="K18:L18"/>
    <mergeCell ref="N18:O18"/>
    <mergeCell ref="P18:Q18"/>
    <mergeCell ref="N22:O22"/>
    <mergeCell ref="F46:G46"/>
    <mergeCell ref="K26:M26"/>
    <mergeCell ref="O26:Q26"/>
    <mergeCell ref="B26:C26"/>
    <mergeCell ref="H26:I26"/>
    <mergeCell ref="F27:I27"/>
    <mergeCell ref="F25:I25"/>
    <mergeCell ref="F23:I23"/>
    <mergeCell ref="G64:I65"/>
    <mergeCell ref="L27:M27"/>
    <mergeCell ref="O27:Q27"/>
    <mergeCell ref="B58:C59"/>
    <mergeCell ref="D58:F59"/>
    <mergeCell ref="G58:I59"/>
    <mergeCell ref="B60:C61"/>
    <mergeCell ref="D60:F61"/>
    <mergeCell ref="G60:I61"/>
    <mergeCell ref="L221:M221"/>
    <mergeCell ref="B25:C25"/>
    <mergeCell ref="B27:C27"/>
    <mergeCell ref="P2:Q2"/>
    <mergeCell ref="K46:M46"/>
    <mergeCell ref="O46:Q46"/>
    <mergeCell ref="D67:F67"/>
    <mergeCell ref="L47:M47"/>
    <mergeCell ref="O47:Q47"/>
    <mergeCell ref="K220:M220"/>
    <mergeCell ref="P220:Q220"/>
    <mergeCell ref="B62:C63"/>
    <mergeCell ref="D62:F63"/>
    <mergeCell ref="G62:I63"/>
    <mergeCell ref="B64:C65"/>
    <mergeCell ref="D64:F65"/>
  </mergeCells>
  <pageMargins left="0.23622047244094491" right="0.23622047244094491" top="0.39370078740157483" bottom="0.74803149606299213" header="0.31496062992125984" footer="0.31496062992125984"/>
  <pageSetup paperSize="5" scale="7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57B98-1981-46E1-B66F-AC6BE176846B}">
  <sheetPr>
    <tabColor theme="9" tint="0.79998168889431442"/>
  </sheetPr>
  <dimension ref="A1:AR869"/>
  <sheetViews>
    <sheetView showGridLines="0" topLeftCell="C1" zoomScale="90" zoomScaleNormal="90" zoomScalePageLayoutView="70" workbookViewId="0">
      <selection activeCell="U19" sqref="U19"/>
    </sheetView>
  </sheetViews>
  <sheetFormatPr defaultColWidth="8.85546875" defaultRowHeight="15" outlineLevelCol="1"/>
  <cols>
    <col min="1" max="1" width="3" style="1" customWidth="1"/>
    <col min="2" max="2" width="12.5703125" style="1" customWidth="1"/>
    <col min="3" max="3" width="18.7109375" style="1" customWidth="1"/>
    <col min="4" max="4" width="12" style="1" bestFit="1" customWidth="1"/>
    <col min="5" max="5" width="19.285156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6.42578125" style="1" hidden="1" customWidth="1" outlineLevel="1"/>
    <col min="11" max="11" width="9.140625" style="1" hidden="1" customWidth="1" outlineLevel="1"/>
    <col min="12" max="12" width="20" style="4" hidden="1" customWidth="1" outlineLevel="1"/>
    <col min="13" max="13" width="15.7109375" style="1" hidden="1" customWidth="1" outlineLevel="1"/>
    <col min="14" max="14" width="21.7109375" style="1" hidden="1" customWidth="1" outlineLevel="1"/>
    <col min="15" max="15" width="11.85546875" style="1" hidden="1" customWidth="1" outlineLevel="1"/>
    <col min="16" max="16" width="16.85546875" style="1" hidden="1" customWidth="1" outlineLevel="1"/>
    <col min="17" max="17" width="9.7109375" style="1" hidden="1" customWidth="1" outlineLevel="1"/>
    <col min="18" max="18" width="3.7109375" customWidth="1" collapsed="1"/>
    <col min="19" max="19" width="15.7109375" style="1" customWidth="1" outlineLevel="1"/>
    <col min="20" max="20" width="11.85546875" style="1" customWidth="1" outlineLevel="1"/>
    <col min="21" max="21" width="17.140625" style="9" customWidth="1" outlineLevel="1"/>
    <col min="22" max="23" width="11.42578125" style="1" customWidth="1" outlineLevel="1"/>
    <col min="24" max="24" width="17.140625" style="1" customWidth="1" outlineLevel="1"/>
    <col min="25" max="25" width="17.85546875" style="1" customWidth="1" outlineLevel="1"/>
    <col min="26" max="26" width="9.7109375" style="1" customWidth="1"/>
    <col min="27" max="27" width="10.7109375" style="10" customWidth="1"/>
    <col min="28" max="28" width="13.42578125" style="1" customWidth="1"/>
    <col min="29" max="29" width="12.7109375" style="1" customWidth="1"/>
    <col min="30" max="30" width="13.140625" style="1" customWidth="1"/>
    <col min="31" max="31" width="13.28515625" style="1" hidden="1" customWidth="1"/>
    <col min="32" max="32" width="13.28515625" style="1" customWidth="1"/>
    <col min="33" max="33" width="11.28515625" style="1" customWidth="1"/>
    <col min="34" max="34" width="14.85546875" style="1" customWidth="1"/>
    <col min="35" max="35" width="5.85546875" style="1" customWidth="1"/>
    <col min="36" max="36" width="11.7109375" style="1" customWidth="1"/>
    <col min="37" max="37" width="12.7109375" style="1" customWidth="1"/>
    <col min="38" max="38" width="11.7109375" style="1" customWidth="1"/>
    <col min="39" max="39" width="12.7109375" style="1" customWidth="1"/>
    <col min="40" max="40" width="12.7109375" style="11" customWidth="1"/>
    <col min="41" max="41" width="14.5703125" style="12" customWidth="1"/>
    <col min="42" max="46" width="12.7109375" style="1" customWidth="1"/>
    <col min="47" max="16384" width="8.85546875" style="1"/>
  </cols>
  <sheetData>
    <row r="1" spans="1:25" ht="55.5" customHeight="1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25">
      <c r="B2" s="13" t="s">
        <v>157</v>
      </c>
      <c r="C2" s="14">
        <f ca="1">FORM!E14</f>
        <v>45849</v>
      </c>
      <c r="D2" s="15"/>
      <c r="J2" s="17"/>
      <c r="K2"/>
      <c r="L2"/>
      <c r="M2" s="18"/>
      <c r="O2" s="16" t="s">
        <v>158</v>
      </c>
      <c r="P2" s="562" t="s">
        <v>159</v>
      </c>
      <c r="Q2" s="563"/>
      <c r="S2"/>
      <c r="T2"/>
      <c r="U2" s="18"/>
      <c r="W2" s="16" t="s">
        <v>158</v>
      </c>
      <c r="X2" s="562" t="s">
        <v>159</v>
      </c>
      <c r="Y2" s="563"/>
    </row>
    <row r="3" spans="1:25">
      <c r="C3" s="5"/>
      <c r="D3" s="5"/>
      <c r="E3" s="17"/>
      <c r="F3" s="17"/>
      <c r="G3" s="17"/>
      <c r="H3" s="17"/>
      <c r="I3" s="17"/>
      <c r="J3" s="17"/>
      <c r="K3" s="17"/>
      <c r="L3" s="2"/>
      <c r="M3" s="22"/>
      <c r="S3" s="17"/>
      <c r="T3" s="2"/>
      <c r="U3" s="22"/>
    </row>
    <row r="4" spans="1:25" ht="18.75" customHeight="1">
      <c r="A4" s="18"/>
      <c r="B4" s="489" t="s">
        <v>291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  <c r="S4" s="489" t="s">
        <v>161</v>
      </c>
      <c r="T4" s="489"/>
      <c r="U4" s="489"/>
      <c r="V4" s="489"/>
      <c r="W4" s="489"/>
      <c r="X4" s="489"/>
      <c r="Y4" s="489"/>
    </row>
    <row r="5" spans="1:25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  <c r="S5" s="17"/>
      <c r="T5" s="17"/>
      <c r="U5" s="23"/>
      <c r="V5" s="18"/>
      <c r="W5" s="18"/>
      <c r="X5" s="18"/>
      <c r="Y5" s="18"/>
    </row>
    <row r="6" spans="1:25">
      <c r="A6" s="18"/>
      <c r="B6" s="24" t="s">
        <v>162</v>
      </c>
      <c r="C6" s="25"/>
      <c r="D6" s="26" t="s">
        <v>73</v>
      </c>
      <c r="E6" s="501" t="str">
        <f>FORM!E16</f>
        <v>BUYER The Aguirre Townhouse Las Piñas</v>
      </c>
      <c r="F6" s="501"/>
      <c r="G6" s="501"/>
      <c r="H6" s="501"/>
      <c r="I6" s="501"/>
      <c r="J6" s="17"/>
      <c r="K6" s="535" t="str">
        <f>B6</f>
        <v>CLIENT'S NAME</v>
      </c>
      <c r="L6" s="535"/>
      <c r="M6" s="26" t="s">
        <v>73</v>
      </c>
      <c r="N6" s="536" t="str">
        <f t="shared" ref="N6:N13" si="0">E6</f>
        <v>BUYER The Aguirre Townhouse Las Piñas</v>
      </c>
      <c r="O6" s="536"/>
      <c r="P6" s="536"/>
      <c r="Q6" s="536"/>
      <c r="S6" s="535" t="str">
        <f>K6</f>
        <v>CLIENT'S NAME</v>
      </c>
      <c r="T6" s="535"/>
      <c r="U6" s="26" t="s">
        <v>73</v>
      </c>
      <c r="V6" s="536" t="str">
        <f>N6</f>
        <v>BUYER The Aguirre Townhouse Las Piñas</v>
      </c>
      <c r="W6" s="536"/>
      <c r="X6" s="536"/>
      <c r="Y6" s="536"/>
    </row>
    <row r="7" spans="1:25" ht="15.75" thickBot="1">
      <c r="A7" s="18"/>
      <c r="B7" s="27" t="s">
        <v>163</v>
      </c>
      <c r="C7" s="28"/>
      <c r="D7" s="26" t="s">
        <v>73</v>
      </c>
      <c r="E7" s="537" t="str">
        <f>'Pricelist Standard'!H3</f>
        <v>The Aguirre Townhouse - Las Piñas</v>
      </c>
      <c r="F7" s="474"/>
      <c r="G7" s="474"/>
      <c r="H7" s="474"/>
      <c r="I7" s="538"/>
      <c r="J7" s="17"/>
      <c r="K7" s="535" t="str">
        <f t="shared" ref="K7:K13" si="1">B7</f>
        <v>PROJECT NAME</v>
      </c>
      <c r="L7" s="535"/>
      <c r="M7" s="29" t="s">
        <v>73</v>
      </c>
      <c r="N7" s="536" t="str">
        <f t="shared" si="0"/>
        <v>The Aguirre Townhouse - Las Piñas</v>
      </c>
      <c r="O7" s="536"/>
      <c r="P7" s="536"/>
      <c r="Q7" s="536"/>
      <c r="S7" s="535" t="str">
        <f t="shared" ref="S7:S13" si="2">K7</f>
        <v>PROJECT NAME</v>
      </c>
      <c r="T7" s="535"/>
      <c r="U7" s="29" t="s">
        <v>73</v>
      </c>
      <c r="V7" s="536" t="str">
        <f t="shared" ref="V7:V10" si="3">N7</f>
        <v>The Aguirre Townhouse - Las Piñas</v>
      </c>
      <c r="W7" s="536"/>
      <c r="X7" s="536"/>
      <c r="Y7" s="536"/>
    </row>
    <row r="8" spans="1:25">
      <c r="A8" s="30"/>
      <c r="B8" s="24" t="s">
        <v>258</v>
      </c>
      <c r="C8" s="25"/>
      <c r="D8" s="26" t="s">
        <v>73</v>
      </c>
      <c r="E8" s="553" t="str">
        <f>FORM!E4</f>
        <v>Unit 9</v>
      </c>
      <c r="F8" s="540"/>
      <c r="G8" s="540"/>
      <c r="H8" s="540"/>
      <c r="I8" s="541"/>
      <c r="J8" s="17"/>
      <c r="K8" s="535" t="str">
        <f t="shared" si="1"/>
        <v>HOUSE NUMBER</v>
      </c>
      <c r="L8" s="535"/>
      <c r="M8" s="26" t="s">
        <v>73</v>
      </c>
      <c r="N8" s="536" t="str">
        <f>E8</f>
        <v>Unit 9</v>
      </c>
      <c r="O8" s="536"/>
      <c r="P8" s="536"/>
      <c r="Q8" s="536"/>
      <c r="S8" s="535" t="str">
        <f t="shared" si="2"/>
        <v>HOUSE NUMBER</v>
      </c>
      <c r="T8" s="535"/>
      <c r="U8" s="26" t="s">
        <v>73</v>
      </c>
      <c r="V8" s="536" t="str">
        <f t="shared" si="3"/>
        <v>Unit 9</v>
      </c>
      <c r="W8" s="536"/>
      <c r="X8" s="536"/>
      <c r="Y8" s="536"/>
    </row>
    <row r="9" spans="1:25" ht="15" hidden="1" customHeight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tr">
        <f t="shared" si="1"/>
        <v>TOWER</v>
      </c>
      <c r="L9" s="535"/>
      <c r="M9" s="26" t="s">
        <v>73</v>
      </c>
      <c r="N9" s="536" t="str">
        <f t="shared" si="0"/>
        <v>N/A</v>
      </c>
      <c r="O9" s="536"/>
      <c r="P9" s="536"/>
      <c r="Q9" s="536"/>
      <c r="S9" s="535" t="str">
        <f t="shared" si="2"/>
        <v>TOWER</v>
      </c>
      <c r="T9" s="535"/>
      <c r="U9" s="26" t="s">
        <v>73</v>
      </c>
      <c r="V9" s="536" t="str">
        <f t="shared" si="3"/>
        <v>N/A</v>
      </c>
      <c r="W9" s="536"/>
      <c r="X9" s="536"/>
      <c r="Y9" s="536"/>
    </row>
    <row r="10" spans="1:25" ht="15.75" thickBot="1">
      <c r="A10" s="18"/>
      <c r="B10" s="27" t="s">
        <v>75</v>
      </c>
      <c r="C10" s="28"/>
      <c r="D10" s="26" t="s">
        <v>73</v>
      </c>
      <c r="E10" s="542" t="str">
        <f>'Pricelist Standard'!H9</f>
        <v>2 Storey</v>
      </c>
      <c r="F10" s="543"/>
      <c r="G10" s="543"/>
      <c r="H10" s="543"/>
      <c r="I10" s="556"/>
      <c r="J10" s="17"/>
      <c r="K10" s="535" t="str">
        <f t="shared" si="1"/>
        <v>HOUSE TYPE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  <c r="S10" s="535" t="str">
        <f t="shared" si="2"/>
        <v>HOUSE TYPE</v>
      </c>
      <c r="T10" s="535"/>
      <c r="U10" s="29" t="s">
        <v>73</v>
      </c>
      <c r="V10" s="536" t="str">
        <f t="shared" si="3"/>
        <v>2 Storey</v>
      </c>
      <c r="W10" s="536"/>
      <c r="X10" s="536"/>
      <c r="Y10" s="536"/>
    </row>
    <row r="11" spans="1:25">
      <c r="A11" s="18"/>
      <c r="B11" s="27" t="str">
        <f>FORM!B32</f>
        <v>FLOOR AREA</v>
      </c>
      <c r="C11" s="28"/>
      <c r="D11" s="26" t="s">
        <v>73</v>
      </c>
      <c r="E11" s="519">
        <f>FORM!E32</f>
        <v>142.4</v>
      </c>
      <c r="F11" s="520"/>
      <c r="G11" s="31" t="s">
        <v>170</v>
      </c>
      <c r="H11" s="533"/>
      <c r="I11" s="534"/>
      <c r="J11" s="17"/>
      <c r="K11" s="535" t="str">
        <f t="shared" si="1"/>
        <v>FLOOR AREA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  <c r="S11" s="535" t="str">
        <f t="shared" si="2"/>
        <v>FLOOR AREA</v>
      </c>
      <c r="T11" s="535"/>
      <c r="U11" s="26" t="s">
        <v>73</v>
      </c>
      <c r="V11" s="519">
        <f>N11</f>
        <v>142.4</v>
      </c>
      <c r="W11" s="520"/>
      <c r="X11" s="521" t="s">
        <v>170</v>
      </c>
      <c r="Y11" s="522"/>
    </row>
    <row r="12" spans="1:25">
      <c r="A12" s="30"/>
      <c r="B12" s="27" t="str">
        <f>FORM!B33</f>
        <v>LOT AREA</v>
      </c>
      <c r="C12" s="25"/>
      <c r="D12" s="26" t="s">
        <v>73</v>
      </c>
      <c r="E12" s="519">
        <f>FORM!E33</f>
        <v>80</v>
      </c>
      <c r="F12" s="520"/>
      <c r="G12" s="31" t="s">
        <v>170</v>
      </c>
      <c r="H12" s="521"/>
      <c r="I12" s="522"/>
      <c r="J12" s="17"/>
      <c r="K12" s="535" t="str">
        <f t="shared" si="1"/>
        <v>LOT AREA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  <c r="S12" s="535" t="str">
        <f t="shared" si="2"/>
        <v>LOT AREA</v>
      </c>
      <c r="T12" s="535"/>
      <c r="U12" s="26" t="s">
        <v>73</v>
      </c>
      <c r="V12" s="519">
        <f t="shared" ref="V12:V13" si="4">N12</f>
        <v>80</v>
      </c>
      <c r="W12" s="520"/>
      <c r="X12" s="521" t="s">
        <v>170</v>
      </c>
      <c r="Y12" s="522"/>
    </row>
    <row r="13" spans="1:25">
      <c r="A13" s="32"/>
      <c r="B13" s="27" t="str">
        <f>FORM!B34</f>
        <v>ACTUAL LOT AREA</v>
      </c>
      <c r="C13" s="25"/>
      <c r="D13" s="26" t="s">
        <v>73</v>
      </c>
      <c r="E13" s="519">
        <f>FORM!E34</f>
        <v>80</v>
      </c>
      <c r="F13" s="520"/>
      <c r="G13" s="31" t="s">
        <v>170</v>
      </c>
      <c r="H13" s="521"/>
      <c r="I13" s="522"/>
      <c r="J13" s="17"/>
      <c r="K13" s="535" t="str">
        <f t="shared" si="1"/>
        <v>ACTUAL LOT AREA</v>
      </c>
      <c r="L13" s="535"/>
      <c r="M13" s="26" t="s">
        <v>73</v>
      </c>
      <c r="N13" s="524">
        <f t="shared" si="0"/>
        <v>80</v>
      </c>
      <c r="O13" s="525"/>
      <c r="P13" s="521" t="s">
        <v>170</v>
      </c>
      <c r="Q13" s="522"/>
      <c r="S13" s="535" t="str">
        <f t="shared" si="2"/>
        <v>ACTUAL LOT AREA</v>
      </c>
      <c r="T13" s="535"/>
      <c r="U13" s="26" t="s">
        <v>73</v>
      </c>
      <c r="V13" s="519">
        <f t="shared" si="4"/>
        <v>80</v>
      </c>
      <c r="W13" s="520"/>
      <c r="X13" s="521" t="s">
        <v>170</v>
      </c>
      <c r="Y13" s="522"/>
    </row>
    <row r="14" spans="1:25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  <c r="S14" s="18"/>
      <c r="T14" s="18"/>
      <c r="U14" s="39"/>
      <c r="V14" s="18"/>
      <c r="W14" s="18"/>
      <c r="X14" s="18"/>
      <c r="Y14" s="18"/>
    </row>
    <row r="15" spans="1:25" ht="15" customHeight="1">
      <c r="A15" s="18"/>
      <c r="B15" s="24" t="s">
        <v>174</v>
      </c>
      <c r="C15" s="24"/>
      <c r="D15" s="40" t="s">
        <v>73</v>
      </c>
      <c r="E15" s="305"/>
      <c r="F15" s="526">
        <f>'Standard Computation'!F15:I15</f>
        <v>8900000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  <c r="S15" s="489" t="s">
        <v>175</v>
      </c>
      <c r="T15" s="489"/>
      <c r="U15" s="528" t="s">
        <v>176</v>
      </c>
      <c r="V15" s="489" t="s">
        <v>177</v>
      </c>
      <c r="W15" s="489"/>
      <c r="X15" s="529" t="s">
        <v>178</v>
      </c>
      <c r="Y15" s="530"/>
    </row>
    <row r="16" spans="1:25">
      <c r="A16" s="18"/>
      <c r="B16" s="24" t="s">
        <v>287</v>
      </c>
      <c r="C16" s="24"/>
      <c r="D16" s="40"/>
      <c r="E16" s="308">
        <v>0.05</v>
      </c>
      <c r="F16" s="222">
        <f>E16*F15</f>
        <v>445000</v>
      </c>
      <c r="G16" s="222"/>
      <c r="H16" s="222"/>
      <c r="I16" s="223"/>
      <c r="J16" s="19"/>
      <c r="K16" s="489"/>
      <c r="L16" s="489"/>
      <c r="M16" s="528"/>
      <c r="N16" s="489"/>
      <c r="O16" s="489"/>
      <c r="P16" s="531"/>
      <c r="Q16" s="532"/>
      <c r="S16" s="489"/>
      <c r="T16" s="489"/>
      <c r="U16" s="528"/>
      <c r="V16" s="489"/>
      <c r="W16" s="489"/>
      <c r="X16" s="531"/>
      <c r="Y16" s="532"/>
    </row>
    <row r="17" spans="1:41">
      <c r="A17" s="18"/>
      <c r="B17" s="28" t="s">
        <v>179</v>
      </c>
      <c r="C17" s="28"/>
      <c r="D17" s="42" t="s">
        <v>73</v>
      </c>
      <c r="E17" s="306"/>
      <c r="F17" s="551"/>
      <c r="G17" s="551"/>
      <c r="H17" s="551"/>
      <c r="I17" s="552"/>
      <c r="J17" s="19"/>
      <c r="K17" s="501" t="s">
        <v>18</v>
      </c>
      <c r="L17" s="501"/>
      <c r="M17" s="46">
        <f ca="1">C2</f>
        <v>45849</v>
      </c>
      <c r="N17" s="490">
        <f>F26</f>
        <v>50000</v>
      </c>
      <c r="O17" s="490"/>
      <c r="P17" s="504"/>
      <c r="Q17" s="505"/>
      <c r="S17" s="501" t="s">
        <v>18</v>
      </c>
      <c r="T17" s="501"/>
      <c r="U17" s="46">
        <f ca="1">M17</f>
        <v>45849</v>
      </c>
      <c r="V17" s="490">
        <f>N17</f>
        <v>50000</v>
      </c>
      <c r="W17" s="490"/>
      <c r="X17" s="504"/>
      <c r="Y17" s="505"/>
    </row>
    <row r="18" spans="1:41" ht="13.9" customHeight="1">
      <c r="A18" s="18"/>
      <c r="B18" s="28" t="s">
        <v>107</v>
      </c>
      <c r="C18" s="28"/>
      <c r="D18" s="17" t="s">
        <v>73</v>
      </c>
      <c r="E18" s="305"/>
      <c r="F18" s="526">
        <f>F15-F17-F16</f>
        <v>8455000</v>
      </c>
      <c r="G18" s="526"/>
      <c r="H18" s="526"/>
      <c r="I18" s="527"/>
      <c r="J18" s="19"/>
      <c r="K18" s="504" t="s">
        <v>288</v>
      </c>
      <c r="L18" s="505"/>
      <c r="M18" s="46">
        <f ca="1">M17+60</f>
        <v>45909</v>
      </c>
      <c r="N18" s="502">
        <f>F27</f>
        <v>9028000</v>
      </c>
      <c r="O18" s="503"/>
      <c r="P18" s="504"/>
      <c r="Q18" s="505"/>
      <c r="S18" s="504" t="s">
        <v>292</v>
      </c>
      <c r="T18" s="505"/>
      <c r="U18" s="46">
        <f ca="1">U17+30</f>
        <v>45879</v>
      </c>
      <c r="V18" s="502">
        <f>F27/2</f>
        <v>4514000</v>
      </c>
      <c r="W18" s="503"/>
      <c r="X18" s="504"/>
      <c r="Y18" s="505"/>
    </row>
    <row r="19" spans="1:41" ht="13.5" customHeight="1">
      <c r="A19" s="18"/>
      <c r="B19" s="28" t="s">
        <v>180</v>
      </c>
      <c r="C19" s="45"/>
      <c r="D19" s="17"/>
      <c r="E19" s="307"/>
      <c r="F19" s="304">
        <f>F18/E11</f>
        <v>59375</v>
      </c>
      <c r="G19" s="146"/>
      <c r="H19" s="146"/>
      <c r="I19" s="147"/>
      <c r="J19" s="19"/>
      <c r="K19" s="17"/>
      <c r="L19" s="17"/>
      <c r="M19" s="68"/>
      <c r="N19" s="295"/>
      <c r="O19" s="295"/>
      <c r="P19" s="122"/>
      <c r="Q19" s="122"/>
      <c r="S19" s="504" t="s">
        <v>293</v>
      </c>
      <c r="T19" s="505"/>
      <c r="U19" s="46">
        <f ca="1">U18+30</f>
        <v>45909</v>
      </c>
      <c r="V19" s="502">
        <f>V18</f>
        <v>4514000</v>
      </c>
      <c r="W19" s="503"/>
      <c r="X19" s="504"/>
      <c r="Y19" s="505"/>
    </row>
    <row r="20" spans="1:41" ht="18.75" customHeight="1">
      <c r="A20" s="30"/>
      <c r="B20" s="35"/>
      <c r="C20" s="35"/>
      <c r="D20" s="26"/>
      <c r="E20" s="19"/>
      <c r="F20" s="47"/>
      <c r="G20" s="48"/>
      <c r="H20" s="49"/>
      <c r="I20" s="49"/>
      <c r="J20" s="19"/>
      <c r="K20" s="17"/>
      <c r="L20" s="17"/>
      <c r="M20" s="68"/>
      <c r="N20" s="309"/>
      <c r="O20" s="309"/>
      <c r="P20" s="122"/>
      <c r="Q20" s="122"/>
      <c r="S20" s="17"/>
      <c r="T20" s="17"/>
      <c r="U20" s="68"/>
      <c r="V20" s="309"/>
      <c r="W20" s="309"/>
      <c r="X20" s="122"/>
      <c r="Y20" s="122"/>
      <c r="AO20" s="1"/>
    </row>
    <row r="21" spans="1:41" ht="18.75" customHeight="1">
      <c r="A21" s="32"/>
      <c r="B21" s="44" t="s">
        <v>188</v>
      </c>
      <c r="C21" s="45"/>
      <c r="D21" s="26" t="s">
        <v>73</v>
      </c>
      <c r="E21" s="50">
        <f>'Pricelist Standard'!AD7</f>
        <v>7.0000000000000007E-2</v>
      </c>
      <c r="F21" s="548">
        <f>E21*F15</f>
        <v>623000.00000000012</v>
      </c>
      <c r="G21" s="549"/>
      <c r="H21" s="549"/>
      <c r="I21" s="550"/>
      <c r="J21" s="19"/>
      <c r="K21" s="17"/>
      <c r="L21" s="17"/>
      <c r="M21" s="68"/>
      <c r="N21" s="309"/>
      <c r="O21" s="309"/>
      <c r="P21" s="122"/>
      <c r="Q21" s="122"/>
      <c r="S21" s="17"/>
      <c r="T21" s="17"/>
      <c r="U21" s="68"/>
      <c r="V21" s="309"/>
      <c r="W21" s="309"/>
      <c r="X21" s="122"/>
      <c r="Y21" s="122"/>
      <c r="AO21" s="1"/>
    </row>
    <row r="22" spans="1:41" ht="13.15" customHeight="1">
      <c r="A22" s="18"/>
      <c r="B22" s="35"/>
      <c r="C22" s="20"/>
      <c r="D22" s="26"/>
      <c r="E22" s="17"/>
      <c r="F22" s="47"/>
      <c r="G22" s="47"/>
      <c r="H22" s="47"/>
      <c r="I22" s="47"/>
      <c r="J22" s="19"/>
      <c r="N22" s="555"/>
      <c r="O22" s="555"/>
      <c r="T22" s="4"/>
      <c r="U22" s="1"/>
      <c r="V22" s="555"/>
      <c r="W22" s="555"/>
      <c r="AO22" s="1"/>
    </row>
    <row r="23" spans="1:41" ht="13.15" customHeight="1">
      <c r="A23" s="18"/>
      <c r="B23" s="44" t="s">
        <v>17</v>
      </c>
      <c r="C23" s="45"/>
      <c r="D23" s="17" t="s">
        <v>73</v>
      </c>
      <c r="E23" s="51"/>
      <c r="F23" s="476">
        <f>F18+F21</f>
        <v>9078000</v>
      </c>
      <c r="G23" s="477"/>
      <c r="H23" s="477"/>
      <c r="I23" s="478"/>
      <c r="J23" s="19"/>
      <c r="K23" s="19" t="s">
        <v>218</v>
      </c>
      <c r="L23" s="18"/>
      <c r="M23" s="18"/>
      <c r="N23" s="18"/>
      <c r="O23" s="19" t="s">
        <v>219</v>
      </c>
      <c r="P23" s="18"/>
      <c r="Q23" s="18"/>
      <c r="S23" s="19" t="s">
        <v>218</v>
      </c>
      <c r="T23" s="18"/>
      <c r="U23" s="18"/>
      <c r="V23" s="18"/>
      <c r="W23" s="19" t="s">
        <v>219</v>
      </c>
      <c r="X23" s="18"/>
      <c r="Y23" s="18"/>
      <c r="AO23" s="1"/>
    </row>
    <row r="24" spans="1:41" ht="15" customHeight="1">
      <c r="A24" s="18"/>
      <c r="B24" s="35"/>
      <c r="C24" s="20"/>
      <c r="D24" s="26"/>
      <c r="E24" s="52"/>
      <c r="F24" s="155"/>
      <c r="G24" s="54"/>
      <c r="H24" s="54"/>
      <c r="I24" s="55"/>
      <c r="J24" s="19"/>
      <c r="K24"/>
      <c r="L24" s="18"/>
      <c r="M24" s="26"/>
      <c r="N24" s="18"/>
      <c r="O24" s="18"/>
      <c r="P24" s="18"/>
      <c r="Q24" s="18"/>
      <c r="S24"/>
      <c r="T24" s="18"/>
      <c r="U24" s="26"/>
      <c r="V24" s="18"/>
      <c r="W24" s="18"/>
      <c r="X24" s="18"/>
      <c r="Y24" s="18"/>
      <c r="AO24" s="1"/>
    </row>
    <row r="25" spans="1:41" ht="13.15" customHeight="1">
      <c r="A25" s="18"/>
      <c r="B25" s="561" t="s">
        <v>288</v>
      </c>
      <c r="C25" s="561"/>
      <c r="D25" s="40" t="s">
        <v>73</v>
      </c>
      <c r="E25" s="56">
        <v>1</v>
      </c>
      <c r="F25" s="476">
        <f>F23*E25</f>
        <v>9078000</v>
      </c>
      <c r="G25" s="477"/>
      <c r="H25" s="477"/>
      <c r="I25" s="478"/>
      <c r="J25" s="19"/>
      <c r="K25" s="18"/>
      <c r="L25" s="18"/>
      <c r="M25" s="26"/>
      <c r="N25" s="18"/>
      <c r="O25" s="18"/>
      <c r="P25" s="18"/>
      <c r="Q25" s="18"/>
      <c r="S25" s="18"/>
      <c r="T25" s="18"/>
      <c r="U25" s="26"/>
      <c r="V25" s="18"/>
      <c r="W25" s="18"/>
      <c r="X25" s="18"/>
      <c r="Y25" s="18"/>
      <c r="AO25" s="1"/>
    </row>
    <row r="26" spans="1:41" ht="13.15" customHeight="1">
      <c r="A26" s="18"/>
      <c r="B26" s="564" t="s">
        <v>289</v>
      </c>
      <c r="C26" s="564"/>
      <c r="D26" s="42" t="str">
        <f>D25</f>
        <v>:</v>
      </c>
      <c r="E26" s="57"/>
      <c r="F26" s="58">
        <f>FORM!E8</f>
        <v>50000</v>
      </c>
      <c r="G26" s="58"/>
      <c r="H26" s="499"/>
      <c r="I26" s="500"/>
      <c r="J26" s="19"/>
      <c r="K26" s="491" t="str">
        <f>FORM!E20</f>
        <v>SELLER The Aguirre Townhouse Las Piñas</v>
      </c>
      <c r="L26" s="491"/>
      <c r="M26" s="491"/>
      <c r="N26" s="19"/>
      <c r="O26" s="491" t="str">
        <f>FORM!E16</f>
        <v>BUYER The Aguirre Townhouse Las Piñas</v>
      </c>
      <c r="P26" s="491"/>
      <c r="Q26" s="491"/>
      <c r="S26" s="491">
        <f>FORM!M20</f>
        <v>0</v>
      </c>
      <c r="T26" s="491"/>
      <c r="U26" s="491"/>
      <c r="V26" s="19"/>
      <c r="W26" s="491">
        <f>FORM!M16</f>
        <v>0</v>
      </c>
      <c r="X26" s="491"/>
      <c r="Y26" s="491"/>
      <c r="AO26" s="1"/>
    </row>
    <row r="27" spans="1:41" ht="13.15" customHeight="1">
      <c r="A27" s="18"/>
      <c r="B27" s="561" t="s">
        <v>290</v>
      </c>
      <c r="C27" s="561"/>
      <c r="D27" s="17" t="s">
        <v>73</v>
      </c>
      <c r="E27" s="59"/>
      <c r="F27" s="476">
        <f>F25-F26</f>
        <v>9028000</v>
      </c>
      <c r="G27" s="477"/>
      <c r="H27" s="477"/>
      <c r="I27" s="478"/>
      <c r="J27" s="19"/>
      <c r="K27" s="86" t="s">
        <v>224</v>
      </c>
      <c r="L27" s="487"/>
      <c r="M27" s="487"/>
      <c r="N27" s="18"/>
      <c r="O27" s="488" t="s">
        <v>225</v>
      </c>
      <c r="P27" s="488"/>
      <c r="Q27" s="488"/>
      <c r="S27" s="86" t="s">
        <v>224</v>
      </c>
      <c r="T27" s="487"/>
      <c r="U27" s="487"/>
      <c r="V27" s="18"/>
      <c r="W27" s="488" t="s">
        <v>225</v>
      </c>
      <c r="X27" s="488"/>
      <c r="Y27" s="488"/>
      <c r="AO27" s="1"/>
    </row>
    <row r="28" spans="1:41" ht="13.15" customHeight="1">
      <c r="A28" s="18"/>
      <c r="B28" s="20"/>
      <c r="C28" s="35"/>
      <c r="D28" s="65"/>
      <c r="E28" s="65"/>
      <c r="F28" s="65"/>
      <c r="G28" s="70"/>
      <c r="H28" s="70"/>
      <c r="I28" s="70"/>
      <c r="J28" s="19"/>
      <c r="K28" s="89"/>
      <c r="L28" s="89"/>
      <c r="M28" s="89"/>
      <c r="N28" s="89"/>
      <c r="O28" s="89"/>
      <c r="P28" s="90"/>
      <c r="Q28" s="90"/>
      <c r="AO28" s="1"/>
    </row>
    <row r="29" spans="1:41">
      <c r="A29" s="18"/>
      <c r="B29"/>
      <c r="C29"/>
      <c r="D29"/>
      <c r="E29"/>
      <c r="F29"/>
      <c r="G29"/>
      <c r="H29"/>
      <c r="I29"/>
      <c r="J29" s="19"/>
      <c r="K29" s="92"/>
      <c r="L29" s="18"/>
      <c r="M29" s="39"/>
      <c r="N29" s="18"/>
      <c r="O29" s="18"/>
      <c r="P29" s="18"/>
      <c r="Q29" s="18"/>
      <c r="AO29" s="1"/>
    </row>
    <row r="30" spans="1:41">
      <c r="A30" s="18"/>
      <c r="B30"/>
      <c r="C30"/>
      <c r="D30"/>
      <c r="E30"/>
      <c r="F30"/>
      <c r="G30"/>
      <c r="H30"/>
      <c r="I30"/>
      <c r="J30" s="19"/>
      <c r="K30" s="92"/>
      <c r="L30" s="18"/>
      <c r="M30" s="39"/>
      <c r="N30" s="18"/>
      <c r="O30" s="18"/>
      <c r="P30" s="18"/>
      <c r="Q30" s="18"/>
      <c r="AO30" s="1"/>
    </row>
    <row r="31" spans="1:41">
      <c r="A31" s="18"/>
      <c r="B31"/>
      <c r="C31"/>
      <c r="D31"/>
      <c r="E31"/>
      <c r="F31"/>
      <c r="G31"/>
      <c r="H31"/>
      <c r="I31"/>
      <c r="J31" s="19"/>
      <c r="K31" s="92"/>
      <c r="L31" s="18"/>
      <c r="M31" s="39"/>
      <c r="N31" s="18"/>
      <c r="O31" s="18"/>
      <c r="P31" s="18"/>
      <c r="Q31" s="18"/>
      <c r="AO31" s="1"/>
    </row>
    <row r="32" spans="1:41">
      <c r="A32" s="18"/>
      <c r="B32"/>
      <c r="C32"/>
      <c r="D32"/>
      <c r="E32"/>
      <c r="F32"/>
      <c r="G32"/>
      <c r="H32"/>
      <c r="I32"/>
      <c r="J32" s="19"/>
      <c r="K32" s="92"/>
      <c r="L32" s="18"/>
      <c r="M32" s="39"/>
      <c r="N32" s="18"/>
      <c r="O32" s="18"/>
      <c r="P32" s="18"/>
      <c r="Q32" s="18"/>
      <c r="AO32" s="1"/>
    </row>
    <row r="33" spans="1:41">
      <c r="A33" s="18"/>
      <c r="B33"/>
      <c r="C33"/>
      <c r="D33"/>
      <c r="E33"/>
      <c r="F33"/>
      <c r="G33"/>
      <c r="H33"/>
      <c r="I33"/>
      <c r="J33" s="19"/>
      <c r="K33" s="92"/>
      <c r="L33" s="18"/>
      <c r="M33" s="39"/>
      <c r="N33" s="18"/>
      <c r="O33" s="18"/>
      <c r="P33" s="18"/>
      <c r="Q33" s="18"/>
      <c r="AO33" s="1"/>
    </row>
    <row r="34" spans="1:41">
      <c r="A34" s="18"/>
      <c r="B34"/>
      <c r="C34"/>
      <c r="D34"/>
      <c r="E34"/>
      <c r="F34"/>
      <c r="G34"/>
      <c r="H34"/>
      <c r="I34"/>
      <c r="J34" s="17"/>
      <c r="K34" s="92"/>
      <c r="L34" s="18"/>
      <c r="M34" s="39"/>
      <c r="N34" s="18"/>
      <c r="O34" s="18"/>
      <c r="P34" s="18"/>
      <c r="Q34" s="18"/>
      <c r="AO34" s="1"/>
    </row>
    <row r="35" spans="1:41">
      <c r="A35" s="18"/>
      <c r="B35"/>
      <c r="C35"/>
      <c r="D35"/>
      <c r="E35"/>
      <c r="F35"/>
      <c r="G35"/>
      <c r="H35"/>
      <c r="I35"/>
      <c r="J35" s="17"/>
      <c r="K35" s="92"/>
      <c r="L35" s="18"/>
      <c r="M35" s="39"/>
      <c r="N35" s="18"/>
      <c r="O35" s="18"/>
      <c r="P35" s="18"/>
      <c r="Q35" s="18"/>
      <c r="AO35" s="1"/>
    </row>
    <row r="36" spans="1:41">
      <c r="A36" s="18"/>
      <c r="B36"/>
      <c r="C36"/>
      <c r="D36"/>
      <c r="E36"/>
      <c r="F36"/>
      <c r="G36"/>
      <c r="H36"/>
      <c r="I36"/>
      <c r="J36" s="74"/>
      <c r="K36" s="92"/>
      <c r="L36" s="18"/>
      <c r="M36" s="39"/>
      <c r="N36" s="18"/>
      <c r="O36" s="18"/>
      <c r="P36" s="18"/>
      <c r="Q36" s="18"/>
      <c r="AO36" s="1"/>
    </row>
    <row r="37" spans="1:41">
      <c r="A37" s="18"/>
      <c r="B37"/>
      <c r="C37"/>
      <c r="D37"/>
      <c r="E37"/>
      <c r="F37"/>
      <c r="G37"/>
      <c r="H37"/>
      <c r="I37"/>
      <c r="J37" s="19"/>
      <c r="K37" s="92"/>
      <c r="L37" s="18"/>
      <c r="M37" s="39"/>
      <c r="N37" s="18"/>
      <c r="O37" s="18"/>
      <c r="P37" s="18"/>
      <c r="Q37" s="18"/>
      <c r="AO37" s="1"/>
    </row>
    <row r="38" spans="1:41">
      <c r="A38" s="18"/>
      <c r="B38"/>
      <c r="C38"/>
      <c r="D38"/>
      <c r="E38"/>
      <c r="F38"/>
      <c r="G38"/>
      <c r="H38"/>
      <c r="I38"/>
      <c r="J38" s="19"/>
      <c r="K38" s="92"/>
      <c r="L38" s="18"/>
      <c r="M38" s="39"/>
      <c r="N38" s="18"/>
      <c r="O38" s="18"/>
      <c r="P38" s="18"/>
      <c r="Q38" s="18"/>
      <c r="AO38" s="1"/>
    </row>
    <row r="39" spans="1:41">
      <c r="A39" s="18"/>
      <c r="B39"/>
      <c r="C39"/>
      <c r="D39"/>
      <c r="E39"/>
      <c r="F39"/>
      <c r="G39"/>
      <c r="H39"/>
      <c r="I39"/>
      <c r="J39" s="19"/>
      <c r="K39" s="92"/>
      <c r="L39" s="18"/>
      <c r="M39" s="39"/>
      <c r="N39" s="18"/>
      <c r="O39" s="18"/>
      <c r="P39" s="18"/>
      <c r="Q39" s="18"/>
      <c r="AO39" s="1"/>
    </row>
    <row r="40" spans="1:41">
      <c r="A40" s="18"/>
      <c r="B40"/>
      <c r="C40"/>
      <c r="D40"/>
      <c r="E40"/>
      <c r="F40"/>
      <c r="G40"/>
      <c r="H40"/>
      <c r="I40"/>
      <c r="J40" s="19"/>
      <c r="K40" s="92"/>
      <c r="L40" s="18"/>
      <c r="M40" s="39"/>
      <c r="N40" s="18"/>
      <c r="O40" s="18"/>
      <c r="P40" s="18"/>
      <c r="Q40" s="18"/>
      <c r="AO40" s="1"/>
    </row>
    <row r="41" spans="1:41">
      <c r="A41" s="18"/>
      <c r="B41"/>
      <c r="C41"/>
      <c r="D41"/>
      <c r="E41"/>
      <c r="F41"/>
      <c r="G41"/>
      <c r="H41"/>
      <c r="I41"/>
      <c r="J41" s="19"/>
      <c r="K41" s="92"/>
      <c r="L41" s="18"/>
      <c r="M41" s="39"/>
      <c r="N41" s="18"/>
      <c r="O41" s="18"/>
      <c r="P41" s="18"/>
      <c r="Q41" s="18"/>
      <c r="AO41" s="1"/>
    </row>
    <row r="42" spans="1:41">
      <c r="A42" s="18"/>
      <c r="B42"/>
      <c r="C42"/>
      <c r="D42"/>
      <c r="E42"/>
      <c r="F42"/>
      <c r="G42"/>
      <c r="H42"/>
      <c r="I42"/>
      <c r="J42" s="19"/>
      <c r="K42" s="92"/>
      <c r="L42" s="18"/>
      <c r="M42" s="39"/>
      <c r="N42" s="18"/>
      <c r="O42" s="18"/>
      <c r="P42" s="18"/>
      <c r="Q42" s="18"/>
      <c r="AO42" s="1"/>
    </row>
    <row r="43" spans="1:41">
      <c r="A43" s="18"/>
      <c r="B43"/>
      <c r="C43"/>
      <c r="D43"/>
      <c r="E43"/>
      <c r="F43"/>
      <c r="G43"/>
      <c r="H43"/>
      <c r="I43"/>
      <c r="J43" s="19"/>
      <c r="K43" s="19"/>
      <c r="L43" s="18"/>
      <c r="M43" s="18"/>
      <c r="N43" s="18"/>
      <c r="O43" s="19"/>
      <c r="P43" s="18"/>
      <c r="Q43" s="18"/>
      <c r="AO43" s="1"/>
    </row>
    <row r="44" spans="1:41">
      <c r="A44" s="18"/>
      <c r="B44"/>
      <c r="C44"/>
      <c r="D44"/>
      <c r="E44"/>
      <c r="F44"/>
      <c r="G44"/>
      <c r="H44"/>
      <c r="I44"/>
      <c r="J44" s="19"/>
      <c r="K44" s="18"/>
      <c r="L44" s="18"/>
      <c r="M44" s="26"/>
      <c r="N44" s="18"/>
      <c r="O44" s="18"/>
      <c r="P44" s="18"/>
      <c r="Q44" s="18"/>
      <c r="AO44" s="1"/>
    </row>
    <row r="45" spans="1:41">
      <c r="A45" s="18"/>
      <c r="B45"/>
      <c r="C45"/>
      <c r="D45"/>
      <c r="E45"/>
      <c r="F45"/>
      <c r="G45"/>
      <c r="H45"/>
      <c r="I45"/>
      <c r="J45" s="19"/>
      <c r="K45" s="18"/>
      <c r="L45" s="18"/>
      <c r="M45" s="26"/>
      <c r="N45" s="18"/>
      <c r="O45" s="18"/>
      <c r="P45" s="18"/>
      <c r="Q45" s="18"/>
      <c r="AO45" s="1"/>
    </row>
    <row r="46" spans="1:41" hidden="1">
      <c r="A46" s="18"/>
      <c r="C46" s="82"/>
      <c r="D46" s="83"/>
      <c r="E46" s="84"/>
      <c r="F46" s="486"/>
      <c r="G46" s="486"/>
      <c r="H46" s="85"/>
      <c r="I46" s="18"/>
      <c r="J46" s="19"/>
      <c r="K46" s="484"/>
      <c r="L46" s="484"/>
      <c r="M46" s="484"/>
      <c r="N46" s="19"/>
      <c r="O46" s="484"/>
      <c r="P46" s="484"/>
      <c r="Q46" s="484"/>
      <c r="AO46" s="1"/>
    </row>
    <row r="47" spans="1:41" hidden="1">
      <c r="A47" s="18"/>
      <c r="C47" s="88"/>
      <c r="D47" s="26"/>
      <c r="E47" s="18"/>
      <c r="F47" s="18"/>
      <c r="G47" s="18"/>
      <c r="H47" s="18"/>
      <c r="I47" s="18"/>
      <c r="J47" s="19"/>
      <c r="K47" s="18"/>
      <c r="L47" s="474"/>
      <c r="M47" s="474"/>
      <c r="N47" s="18"/>
      <c r="O47" s="485"/>
      <c r="P47" s="485"/>
      <c r="Q47" s="485"/>
      <c r="AO47" s="1"/>
    </row>
    <row r="48" spans="1:41">
      <c r="A48" s="18"/>
      <c r="C48" s="18"/>
      <c r="D48" s="26"/>
      <c r="E48" s="18"/>
      <c r="F48" s="18"/>
      <c r="G48" s="18"/>
      <c r="H48" s="18"/>
      <c r="I48" s="18"/>
      <c r="J48" s="19"/>
      <c r="K48" s="92"/>
      <c r="L48" s="18"/>
      <c r="M48" s="84"/>
      <c r="N48" s="18"/>
      <c r="O48" s="18"/>
      <c r="P48" s="18"/>
      <c r="Q48" s="18"/>
      <c r="AO48" s="1"/>
    </row>
    <row r="49" spans="1:41">
      <c r="A49" s="18"/>
      <c r="C49" s="88"/>
      <c r="D49" s="26"/>
      <c r="E49" s="18"/>
      <c r="F49" s="18"/>
      <c r="G49" s="18"/>
      <c r="H49" s="18"/>
      <c r="I49" s="18"/>
      <c r="J49" s="19"/>
      <c r="K49" s="92"/>
      <c r="L49" s="18"/>
      <c r="M49" s="84"/>
      <c r="N49" s="18"/>
      <c r="O49" s="18"/>
      <c r="P49" s="18"/>
      <c r="Q49" s="18"/>
      <c r="AO49" s="1"/>
    </row>
    <row r="50" spans="1:41">
      <c r="A50" s="18"/>
      <c r="B50" s="93"/>
      <c r="C50" s="18"/>
      <c r="D50" s="18"/>
      <c r="E50" s="18"/>
      <c r="F50" s="18"/>
      <c r="G50" s="18"/>
      <c r="H50" s="18"/>
      <c r="I50" s="18"/>
      <c r="J50" s="19"/>
      <c r="K50" s="92"/>
      <c r="L50" s="18"/>
      <c r="M50" s="39"/>
      <c r="N50" s="18"/>
      <c r="O50" s="18"/>
      <c r="P50" s="18"/>
      <c r="Q50" s="18"/>
      <c r="AO50" s="1"/>
    </row>
    <row r="51" spans="1:41">
      <c r="A51" s="18"/>
      <c r="J51" s="19"/>
      <c r="K51" s="92"/>
      <c r="L51" s="18"/>
      <c r="M51" s="39"/>
      <c r="N51" s="18"/>
      <c r="O51" s="18"/>
      <c r="P51" s="18"/>
      <c r="Q51" s="18"/>
      <c r="AE51" s="87">
        <v>3128865.99</v>
      </c>
      <c r="AO51" s="1"/>
    </row>
    <row r="52" spans="1:41">
      <c r="A52" s="18"/>
      <c r="J52" s="19"/>
      <c r="K52" s="92"/>
      <c r="L52" s="18"/>
      <c r="M52" s="39"/>
      <c r="N52" s="18"/>
      <c r="O52" s="18"/>
      <c r="P52" s="18"/>
      <c r="Q52" s="18"/>
      <c r="AO52" s="1"/>
    </row>
    <row r="53" spans="1:41">
      <c r="A53" s="18"/>
      <c r="J53" s="19"/>
      <c r="K53" s="92"/>
      <c r="L53" s="18"/>
      <c r="M53" s="39"/>
      <c r="N53" s="18"/>
      <c r="O53" s="18"/>
      <c r="P53" s="18"/>
      <c r="Q53" s="18"/>
      <c r="AO53" s="1"/>
    </row>
    <row r="54" spans="1:41">
      <c r="A54" s="18"/>
      <c r="J54" s="17"/>
      <c r="K54" s="92"/>
      <c r="L54" s="18"/>
      <c r="M54" s="39"/>
      <c r="N54" s="18"/>
      <c r="O54" s="18"/>
      <c r="P54" s="18"/>
      <c r="Q54" s="18"/>
      <c r="AO54" s="1"/>
    </row>
    <row r="55" spans="1:41">
      <c r="A55" s="18"/>
      <c r="J55" s="26"/>
      <c r="K55" s="92"/>
      <c r="L55" s="18"/>
      <c r="M55" s="39"/>
      <c r="N55" s="18"/>
      <c r="O55" s="18"/>
      <c r="P55" s="18"/>
      <c r="Q55" s="18"/>
      <c r="AO55" s="1"/>
    </row>
    <row r="56" spans="1:41">
      <c r="A56" s="18"/>
      <c r="J56" s="26"/>
      <c r="K56" s="92"/>
      <c r="L56" s="18"/>
      <c r="M56" s="39"/>
      <c r="N56" s="18"/>
      <c r="O56" s="18"/>
      <c r="P56" s="18"/>
      <c r="Q56" s="18"/>
      <c r="AO56" s="1"/>
    </row>
    <row r="57" spans="1:41">
      <c r="A57" s="18"/>
      <c r="J57" s="26"/>
      <c r="K57" s="92"/>
      <c r="L57" s="18"/>
      <c r="M57" s="39"/>
      <c r="N57" s="18"/>
      <c r="O57" s="18"/>
      <c r="P57" s="18"/>
      <c r="Q57" s="18"/>
      <c r="AA57" s="1"/>
      <c r="AN57" s="1"/>
      <c r="AO57" s="1"/>
    </row>
    <row r="58" spans="1:41">
      <c r="A58" s="18"/>
      <c r="B58" s="482"/>
      <c r="C58" s="482"/>
      <c r="D58" s="482"/>
      <c r="E58" s="482"/>
      <c r="F58" s="482"/>
      <c r="G58" s="483"/>
      <c r="H58" s="483"/>
      <c r="I58" s="483"/>
      <c r="J58" s="26"/>
      <c r="K58" s="92"/>
      <c r="L58" s="18"/>
      <c r="M58" s="39"/>
      <c r="N58" s="18"/>
      <c r="O58" s="18"/>
      <c r="P58" s="18"/>
      <c r="Q58" s="18"/>
      <c r="AA58" s="1"/>
      <c r="AN58" s="1"/>
      <c r="AO58" s="1"/>
    </row>
    <row r="59" spans="1:41" ht="15" customHeight="1">
      <c r="A59" s="18"/>
      <c r="B59" s="482"/>
      <c r="C59" s="482"/>
      <c r="D59" s="482"/>
      <c r="E59" s="482"/>
      <c r="F59" s="482"/>
      <c r="G59" s="483"/>
      <c r="H59" s="483"/>
      <c r="I59" s="483"/>
      <c r="J59" s="17"/>
      <c r="K59" s="92"/>
      <c r="L59" s="18"/>
      <c r="M59" s="39"/>
      <c r="N59" s="18"/>
      <c r="O59" s="18"/>
      <c r="P59" s="18"/>
      <c r="Q59" s="18"/>
      <c r="AA59" s="1"/>
      <c r="AN59" s="1"/>
      <c r="AO59" s="1"/>
    </row>
    <row r="60" spans="1:41">
      <c r="A60" s="18"/>
      <c r="B60" s="482"/>
      <c r="C60" s="482"/>
      <c r="D60" s="482"/>
      <c r="E60" s="482"/>
      <c r="F60" s="482"/>
      <c r="G60" s="483"/>
      <c r="H60" s="483"/>
      <c r="I60" s="483"/>
      <c r="J60" s="17"/>
      <c r="K60" s="92"/>
      <c r="L60" s="18"/>
      <c r="M60" s="39"/>
      <c r="N60" s="18"/>
      <c r="O60" s="18"/>
      <c r="P60" s="18"/>
      <c r="Q60" s="18"/>
      <c r="AA60" s="1"/>
      <c r="AN60" s="1"/>
      <c r="AO60" s="1"/>
    </row>
    <row r="61" spans="1:41" ht="15" customHeight="1">
      <c r="A61" s="18"/>
      <c r="B61" s="482"/>
      <c r="C61" s="482"/>
      <c r="D61" s="482"/>
      <c r="E61" s="482"/>
      <c r="F61" s="482"/>
      <c r="G61" s="483"/>
      <c r="H61" s="483"/>
      <c r="I61" s="483"/>
      <c r="J61" s="71"/>
      <c r="K61" s="92"/>
      <c r="L61" s="18"/>
      <c r="M61" s="39"/>
      <c r="N61" s="18"/>
      <c r="O61" s="18"/>
      <c r="P61" s="18"/>
      <c r="Q61" s="18"/>
      <c r="AA61" s="1"/>
      <c r="AN61" s="1"/>
      <c r="AO61" s="1"/>
    </row>
    <row r="62" spans="1:41">
      <c r="A62" s="18"/>
      <c r="B62" s="482"/>
      <c r="C62" s="482"/>
      <c r="D62" s="482"/>
      <c r="E62" s="482"/>
      <c r="F62" s="482"/>
      <c r="G62" s="483"/>
      <c r="H62" s="483"/>
      <c r="I62" s="483"/>
      <c r="J62" s="71"/>
      <c r="K62" s="92"/>
      <c r="L62" s="18"/>
      <c r="M62" s="39"/>
      <c r="N62" s="18"/>
      <c r="O62" s="18"/>
      <c r="P62" s="18"/>
      <c r="Q62" s="18"/>
      <c r="AA62" s="1"/>
      <c r="AN62" s="1"/>
      <c r="AO62" s="1"/>
    </row>
    <row r="63" spans="1:41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AA63" s="1"/>
      <c r="AN63" s="1"/>
      <c r="AO63" s="1"/>
    </row>
    <row r="64" spans="1:41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AA64" s="1"/>
      <c r="AN64" s="1"/>
      <c r="AO64" s="1"/>
    </row>
    <row r="65" spans="1:41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92"/>
      <c r="L65" s="18"/>
      <c r="M65" s="39"/>
      <c r="N65" s="18"/>
      <c r="O65" s="18"/>
      <c r="P65" s="18"/>
      <c r="Q65" s="18"/>
      <c r="AA65" s="1"/>
      <c r="AN65" s="1"/>
      <c r="AO65" s="1"/>
    </row>
    <row r="66" spans="1:41">
      <c r="A66" s="18"/>
      <c r="B66" s="93"/>
      <c r="C66" s="18"/>
      <c r="D66" s="18"/>
      <c r="E66" s="18"/>
      <c r="F66" s="18"/>
      <c r="G66" s="18"/>
      <c r="H66" s="18"/>
      <c r="I66" s="18"/>
      <c r="J66" s="18"/>
      <c r="K66" s="92"/>
      <c r="L66" s="18"/>
      <c r="M66" s="39"/>
      <c r="N66" s="18"/>
      <c r="O66" s="18"/>
      <c r="P66" s="18"/>
      <c r="Q66" s="18"/>
      <c r="AA66" s="1"/>
      <c r="AN66" s="1"/>
      <c r="AO66" s="1"/>
    </row>
    <row r="67" spans="1:41" ht="15" customHeight="1">
      <c r="A67" s="18"/>
      <c r="C67" s="93"/>
      <c r="D67" s="479"/>
      <c r="E67" s="480"/>
      <c r="F67" s="480"/>
      <c r="G67" s="18"/>
      <c r="H67" s="18"/>
      <c r="I67" s="18"/>
      <c r="J67" s="18"/>
      <c r="K67" s="92"/>
      <c r="L67" s="18"/>
      <c r="M67" s="39"/>
      <c r="N67" s="18"/>
      <c r="O67" s="18"/>
      <c r="P67" s="18"/>
      <c r="Q67" s="18"/>
      <c r="AA67" s="1"/>
      <c r="AN67" s="1"/>
      <c r="AO67" s="1"/>
    </row>
    <row r="68" spans="1:41">
      <c r="A68" s="18"/>
      <c r="B68" s="93"/>
      <c r="C68" s="18"/>
      <c r="D68" s="94"/>
      <c r="E68" s="94"/>
      <c r="F68" s="18"/>
      <c r="G68" s="18"/>
      <c r="H68" s="18"/>
      <c r="I68" s="18"/>
      <c r="J68" s="18"/>
      <c r="K68" s="92"/>
      <c r="L68" s="18"/>
      <c r="M68" s="39"/>
      <c r="N68" s="18"/>
      <c r="O68" s="18"/>
      <c r="P68" s="18"/>
      <c r="Q68" s="18"/>
      <c r="AA68" s="1"/>
      <c r="AN68" s="1"/>
      <c r="AO68" s="1"/>
    </row>
    <row r="69" spans="1:41" ht="12.75" customHeight="1">
      <c r="A69" s="18"/>
      <c r="B69" s="93"/>
      <c r="C69" s="18"/>
      <c r="D69" s="94"/>
      <c r="E69" s="94"/>
      <c r="F69" s="18"/>
      <c r="G69" s="18"/>
      <c r="H69" s="18"/>
      <c r="I69" s="18"/>
      <c r="J69" s="71"/>
      <c r="K69" s="92"/>
      <c r="L69" s="18"/>
      <c r="M69" s="39"/>
      <c r="N69" s="18"/>
      <c r="O69" s="18"/>
      <c r="P69" s="18"/>
      <c r="Q69" s="18"/>
      <c r="AA69" s="1"/>
      <c r="AN69" s="1"/>
      <c r="AO69" s="1"/>
    </row>
    <row r="70" spans="1:41">
      <c r="A70" s="18"/>
      <c r="B70" s="93"/>
      <c r="C70" s="18"/>
      <c r="D70" s="94"/>
      <c r="E70" s="94"/>
      <c r="F70" s="18"/>
      <c r="G70" s="18"/>
      <c r="H70" s="18"/>
      <c r="I70" s="18"/>
      <c r="J70" s="71"/>
      <c r="K70" s="92"/>
      <c r="L70" s="18"/>
      <c r="M70" s="39"/>
      <c r="N70" s="18"/>
      <c r="O70" s="18"/>
      <c r="P70" s="18"/>
      <c r="Q70" s="18"/>
      <c r="AA70" s="1"/>
      <c r="AN70" s="1"/>
      <c r="AO70" s="1"/>
    </row>
    <row r="71" spans="1:41">
      <c r="A71" s="18"/>
      <c r="B71" s="93"/>
      <c r="C71" s="18"/>
      <c r="D71" s="94"/>
      <c r="E71" s="94"/>
      <c r="F71" s="18"/>
      <c r="G71" s="18"/>
      <c r="H71" s="18"/>
      <c r="I71" s="18"/>
      <c r="J71" s="71"/>
      <c r="K71" s="92"/>
      <c r="L71" s="18"/>
      <c r="M71" s="39"/>
      <c r="N71" s="18"/>
      <c r="O71" s="18"/>
      <c r="P71" s="18"/>
      <c r="Q71" s="18"/>
      <c r="AA71" s="1"/>
      <c r="AN71" s="1"/>
      <c r="AO71" s="1"/>
    </row>
    <row r="72" spans="1:41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AA72" s="1"/>
      <c r="AN72" s="1"/>
      <c r="AO72" s="1"/>
    </row>
    <row r="73" spans="1:41">
      <c r="A73" s="18"/>
      <c r="J73" s="71"/>
      <c r="K73" s="92"/>
      <c r="L73" s="18"/>
      <c r="M73" s="39"/>
      <c r="N73" s="18"/>
      <c r="O73" s="18"/>
      <c r="P73" s="18"/>
      <c r="Q73" s="18"/>
      <c r="AA73" s="1"/>
      <c r="AN73" s="1"/>
      <c r="AO73" s="1"/>
    </row>
    <row r="74" spans="1:41">
      <c r="A74" s="18"/>
      <c r="J74" s="71"/>
      <c r="K74" s="92"/>
      <c r="L74" s="18"/>
      <c r="M74" s="39"/>
      <c r="N74" s="18"/>
      <c r="O74" s="18"/>
      <c r="P74" s="18"/>
      <c r="Q74" s="18"/>
      <c r="AA74" s="1"/>
      <c r="AN74" s="1"/>
      <c r="AO74" s="1"/>
    </row>
    <row r="75" spans="1:41">
      <c r="A75" s="18"/>
      <c r="J75" s="71"/>
      <c r="K75" s="92"/>
      <c r="L75" s="18"/>
      <c r="M75" s="39"/>
      <c r="N75" s="18"/>
      <c r="O75" s="18"/>
      <c r="P75" s="18"/>
      <c r="Q75" s="18"/>
      <c r="AA75" s="1"/>
      <c r="AN75" s="1"/>
      <c r="AO75" s="1"/>
    </row>
    <row r="76" spans="1:41">
      <c r="A76" s="18"/>
      <c r="J76" s="71"/>
      <c r="K76" s="92"/>
      <c r="L76" s="18"/>
      <c r="M76" s="39"/>
      <c r="N76" s="18"/>
      <c r="O76" s="18"/>
      <c r="P76" s="18"/>
      <c r="Q76" s="18"/>
      <c r="AA76" s="1"/>
      <c r="AN76" s="1"/>
      <c r="AO76" s="1"/>
    </row>
    <row r="77" spans="1:41">
      <c r="A77" s="18"/>
      <c r="J77" s="71"/>
      <c r="K77" s="92"/>
      <c r="L77" s="18"/>
      <c r="M77" s="39"/>
      <c r="N77" s="18"/>
      <c r="O77" s="18"/>
      <c r="P77" s="18"/>
      <c r="Q77" s="18"/>
      <c r="AA77" s="1"/>
      <c r="AN77" s="1"/>
      <c r="AO77" s="1"/>
    </row>
    <row r="78" spans="1:41" ht="12" customHeight="1">
      <c r="A78" s="18"/>
      <c r="B78" s="93"/>
      <c r="C78" s="18"/>
      <c r="D78" s="18"/>
      <c r="E78" s="18"/>
      <c r="F78" s="18"/>
      <c r="G78" s="18"/>
      <c r="H78" s="18"/>
      <c r="I78" s="18"/>
      <c r="J78" s="71"/>
      <c r="K78" s="92"/>
      <c r="L78" s="18"/>
      <c r="M78" s="39"/>
      <c r="N78" s="18"/>
      <c r="O78" s="18"/>
      <c r="P78" s="18"/>
      <c r="Q78" s="18"/>
      <c r="AA78" s="1"/>
      <c r="AN78" s="1"/>
      <c r="AO78" s="1"/>
    </row>
    <row r="79" spans="1:41" ht="12" customHeight="1">
      <c r="A79" s="18"/>
      <c r="B79" s="93"/>
      <c r="C79" s="18"/>
      <c r="D79" s="18"/>
      <c r="E79" s="18"/>
      <c r="F79" s="18"/>
      <c r="G79" s="18"/>
      <c r="H79" s="18"/>
      <c r="I79" s="18"/>
      <c r="J79" s="71"/>
      <c r="K79" s="92"/>
      <c r="L79" s="18"/>
      <c r="M79" s="39"/>
      <c r="N79" s="18"/>
      <c r="O79" s="18"/>
      <c r="P79" s="18"/>
      <c r="Q79" s="18"/>
      <c r="AA79" s="1"/>
      <c r="AN79" s="1"/>
      <c r="AO79" s="1"/>
    </row>
    <row r="80" spans="1:41" ht="12" customHeight="1">
      <c r="A80" s="18"/>
      <c r="B80" s="93"/>
      <c r="C80" s="18"/>
      <c r="D80" s="18"/>
      <c r="E80" s="18"/>
      <c r="F80" s="18"/>
      <c r="G80" s="18"/>
      <c r="H80" s="18"/>
      <c r="I80" s="18"/>
      <c r="J80" s="71"/>
      <c r="K80" s="92"/>
      <c r="L80" s="18"/>
      <c r="M80" s="39"/>
      <c r="N80" s="18"/>
      <c r="O80" s="18"/>
      <c r="P80" s="18"/>
      <c r="Q80" s="18"/>
      <c r="AA80" s="1"/>
      <c r="AN80" s="1"/>
      <c r="AO80" s="1"/>
    </row>
    <row r="81" spans="1:41" ht="12" customHeight="1">
      <c r="A81" s="18"/>
      <c r="B81" s="93"/>
      <c r="C81" s="18"/>
      <c r="D81" s="18"/>
      <c r="E81" s="18"/>
      <c r="F81" s="18"/>
      <c r="G81" s="18"/>
      <c r="H81" s="18"/>
      <c r="I81" s="18"/>
      <c r="J81" s="71"/>
      <c r="K81" s="92"/>
      <c r="L81" s="18"/>
      <c r="M81" s="39"/>
      <c r="N81" s="18"/>
      <c r="O81" s="18"/>
      <c r="P81" s="18"/>
      <c r="Q81" s="18"/>
      <c r="AA81" s="1"/>
      <c r="AN81" s="1"/>
      <c r="AO81" s="1"/>
    </row>
    <row r="82" spans="1:41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AA82" s="1"/>
      <c r="AN82" s="1"/>
      <c r="AO82" s="1"/>
    </row>
    <row r="83" spans="1:41" ht="12" customHeight="1">
      <c r="A83" s="18"/>
      <c r="B83" s="93"/>
      <c r="C83" s="18"/>
      <c r="D83" s="26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AA83" s="1"/>
      <c r="AN83" s="1"/>
      <c r="AO83" s="1"/>
    </row>
    <row r="84" spans="1:41" ht="12" customHeight="1">
      <c r="A84" s="18"/>
      <c r="B84" s="93"/>
      <c r="C84" s="18"/>
      <c r="D84" s="26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AA84" s="1"/>
      <c r="AN84" s="1"/>
      <c r="AO84" s="1"/>
    </row>
    <row r="85" spans="1:41" ht="12" customHeight="1">
      <c r="A85" s="18"/>
      <c r="B85" s="93"/>
      <c r="C85" s="18"/>
      <c r="D85" s="26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AA85" s="1"/>
      <c r="AN85" s="1"/>
      <c r="AO85" s="1"/>
    </row>
    <row r="86" spans="1:41" ht="12" customHeight="1">
      <c r="A86" s="18"/>
      <c r="B86" s="93"/>
      <c r="C86" s="18"/>
      <c r="D86" s="18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AA86" s="1"/>
      <c r="AN86" s="1"/>
      <c r="AO86" s="1"/>
    </row>
    <row r="87" spans="1:41" ht="12" customHeight="1">
      <c r="A87" s="18"/>
      <c r="B87" s="93"/>
      <c r="C87" s="18"/>
      <c r="D87" s="18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AA87" s="1"/>
      <c r="AN87" s="1"/>
      <c r="AO87" s="1"/>
    </row>
    <row r="88" spans="1:41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AA88" s="1"/>
      <c r="AN88" s="1"/>
      <c r="AO88" s="1"/>
    </row>
    <row r="89" spans="1:41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AA89" s="1"/>
      <c r="AN89" s="1"/>
      <c r="AO89" s="1"/>
    </row>
    <row r="90" spans="1:41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AA90" s="1"/>
      <c r="AN90" s="1"/>
      <c r="AO90" s="1"/>
    </row>
    <row r="91" spans="1:41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AA91" s="1"/>
      <c r="AN91" s="1"/>
      <c r="AO91" s="1"/>
    </row>
    <row r="92" spans="1:41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AA92" s="1"/>
      <c r="AN92" s="1"/>
      <c r="AO92" s="1"/>
    </row>
    <row r="93" spans="1:41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AA93" s="1"/>
      <c r="AN93" s="1"/>
      <c r="AO93" s="1"/>
    </row>
    <row r="94" spans="1:41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AA94" s="1"/>
      <c r="AN94" s="1"/>
      <c r="AO94" s="1"/>
    </row>
    <row r="95" spans="1:41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AA95" s="1"/>
      <c r="AN95" s="1"/>
      <c r="AO95" s="1"/>
    </row>
    <row r="96" spans="1:41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AA96" s="1"/>
      <c r="AN96" s="1"/>
      <c r="AO96" s="1"/>
    </row>
    <row r="97" spans="1:41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AA97" s="1"/>
      <c r="AN97" s="1"/>
      <c r="AO97" s="1"/>
    </row>
    <row r="98" spans="1:41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AA98" s="1"/>
      <c r="AN98" s="1"/>
      <c r="AO98" s="1"/>
    </row>
    <row r="99" spans="1:41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AA99" s="1"/>
      <c r="AN99" s="1"/>
      <c r="AO99" s="1"/>
    </row>
    <row r="100" spans="1:41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AA100" s="1"/>
      <c r="AN100" s="1"/>
      <c r="AO100" s="1"/>
    </row>
    <row r="101" spans="1:41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AA101" s="1"/>
      <c r="AN101" s="1"/>
      <c r="AO101" s="1"/>
    </row>
    <row r="102" spans="1:41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AA102" s="1"/>
      <c r="AN102" s="1"/>
      <c r="AO102" s="1"/>
    </row>
    <row r="103" spans="1:41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AA103" s="1"/>
      <c r="AN103" s="1"/>
      <c r="AO103" s="1"/>
    </row>
    <row r="104" spans="1:41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AA104" s="1"/>
      <c r="AN104" s="1"/>
      <c r="AO104" s="1"/>
    </row>
    <row r="105" spans="1:41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AA105" s="1"/>
      <c r="AN105" s="1"/>
      <c r="AO105" s="1"/>
    </row>
    <row r="106" spans="1:41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AA106" s="1"/>
      <c r="AN106" s="1"/>
      <c r="AO106" s="1"/>
    </row>
    <row r="107" spans="1:41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AA107" s="1"/>
      <c r="AN107" s="1"/>
      <c r="AO107" s="1"/>
    </row>
    <row r="108" spans="1:41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AA108" s="1"/>
      <c r="AN108" s="1"/>
      <c r="AO108" s="1"/>
    </row>
    <row r="109" spans="1:41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AA109" s="1"/>
      <c r="AN109" s="1"/>
      <c r="AO109" s="1"/>
    </row>
    <row r="110" spans="1:41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AA110" s="1"/>
      <c r="AN110" s="1"/>
      <c r="AO110" s="1"/>
    </row>
    <row r="111" spans="1:41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AA111" s="1"/>
      <c r="AN111" s="1"/>
      <c r="AO111" s="1"/>
    </row>
    <row r="112" spans="1:41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AA112" s="1"/>
      <c r="AN112" s="1"/>
      <c r="AO112" s="1"/>
    </row>
    <row r="113" spans="1:41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AA113" s="1"/>
      <c r="AN113" s="1"/>
      <c r="AO113" s="1"/>
    </row>
    <row r="114" spans="1:41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AA114" s="1"/>
      <c r="AN114" s="1"/>
      <c r="AO114" s="1"/>
    </row>
    <row r="115" spans="1:41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AA115" s="1"/>
      <c r="AN115" s="1"/>
      <c r="AO115" s="1"/>
    </row>
    <row r="116" spans="1:41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AA116" s="1"/>
      <c r="AN116" s="1"/>
      <c r="AO116" s="1"/>
    </row>
    <row r="117" spans="1:41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AA117" s="1"/>
      <c r="AN117" s="1"/>
      <c r="AO117" s="1"/>
    </row>
    <row r="118" spans="1:41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AA118" s="1"/>
      <c r="AN118" s="1"/>
      <c r="AO118" s="1"/>
    </row>
    <row r="119" spans="1:41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AA119" s="1"/>
      <c r="AN119" s="1"/>
      <c r="AO119" s="1"/>
    </row>
    <row r="120" spans="1:41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AA120" s="1"/>
      <c r="AN120" s="1"/>
      <c r="AO120" s="1"/>
    </row>
    <row r="121" spans="1:41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AA121" s="1"/>
      <c r="AN121" s="1"/>
      <c r="AO121" s="1"/>
    </row>
    <row r="122" spans="1:41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AA122" s="1"/>
      <c r="AN122" s="1"/>
      <c r="AO122" s="1"/>
    </row>
    <row r="123" spans="1:41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AA123" s="1"/>
      <c r="AN123" s="1"/>
      <c r="AO123" s="1"/>
    </row>
    <row r="124" spans="1:41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AA124" s="1"/>
      <c r="AN124" s="1"/>
      <c r="AO124" s="1"/>
    </row>
    <row r="125" spans="1:41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AA125" s="1"/>
      <c r="AN125" s="1"/>
      <c r="AO125" s="1"/>
    </row>
    <row r="126" spans="1:41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AA126" s="1"/>
      <c r="AN126" s="1"/>
      <c r="AO126" s="1"/>
    </row>
    <row r="127" spans="1:41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AA127" s="1"/>
      <c r="AN127" s="1"/>
      <c r="AO127" s="1"/>
    </row>
    <row r="128" spans="1:41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AA128" s="1"/>
      <c r="AN128" s="1"/>
      <c r="AO128" s="1"/>
    </row>
    <row r="129" spans="1:41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AA129" s="1"/>
      <c r="AN129" s="1"/>
      <c r="AO129" s="1"/>
    </row>
    <row r="130" spans="1:41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AA130" s="1"/>
      <c r="AN130" s="1"/>
      <c r="AO130" s="1"/>
    </row>
    <row r="131" spans="1:41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AA131" s="1"/>
      <c r="AN131" s="1"/>
      <c r="AO131" s="1"/>
    </row>
    <row r="132" spans="1:41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AA132" s="1"/>
      <c r="AN132" s="1"/>
      <c r="AO132" s="1"/>
    </row>
    <row r="133" spans="1:41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AA133" s="1"/>
      <c r="AN133" s="1"/>
      <c r="AO133" s="1"/>
    </row>
    <row r="134" spans="1:41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AA134" s="1"/>
      <c r="AN134" s="1"/>
      <c r="AO134" s="1"/>
    </row>
    <row r="135" spans="1:41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AA135" s="1"/>
      <c r="AN135" s="1"/>
      <c r="AO135" s="1"/>
    </row>
    <row r="136" spans="1:41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AA136" s="1"/>
      <c r="AN136" s="1"/>
      <c r="AO136" s="1"/>
    </row>
    <row r="137" spans="1:41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AA137" s="1"/>
      <c r="AN137" s="1"/>
      <c r="AO137" s="1"/>
    </row>
    <row r="138" spans="1:41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AA138" s="1"/>
      <c r="AN138" s="1"/>
      <c r="AO138" s="1"/>
    </row>
    <row r="139" spans="1:41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AA139" s="1"/>
      <c r="AN139" s="1"/>
      <c r="AO139" s="1"/>
    </row>
    <row r="140" spans="1:41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AA140" s="1"/>
      <c r="AN140" s="1"/>
      <c r="AO140" s="1"/>
    </row>
    <row r="141" spans="1:41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AA141" s="1"/>
      <c r="AN141" s="1"/>
      <c r="AO141" s="1"/>
    </row>
    <row r="142" spans="1:41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AA142" s="1"/>
      <c r="AN142" s="1"/>
      <c r="AO142" s="1"/>
    </row>
    <row r="143" spans="1:41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AA143" s="1"/>
      <c r="AN143" s="1"/>
      <c r="AO143" s="1"/>
    </row>
    <row r="144" spans="1:41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AA144" s="1"/>
      <c r="AN144" s="1"/>
      <c r="AO144" s="1"/>
    </row>
    <row r="145" spans="1:41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AA145" s="1"/>
      <c r="AN145" s="1"/>
      <c r="AO145" s="1"/>
    </row>
    <row r="146" spans="1:41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AA146" s="1"/>
      <c r="AN146" s="1"/>
      <c r="AO146" s="1"/>
    </row>
    <row r="147" spans="1:41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AA147" s="1"/>
      <c r="AN147" s="1"/>
      <c r="AO147" s="1"/>
    </row>
    <row r="148" spans="1:41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AA148" s="1"/>
      <c r="AN148" s="1"/>
      <c r="AO148" s="1"/>
    </row>
    <row r="149" spans="1:41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AA149" s="1"/>
      <c r="AN149" s="1"/>
      <c r="AO149" s="1"/>
    </row>
    <row r="150" spans="1:41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AA150" s="1"/>
      <c r="AN150" s="1"/>
      <c r="AO150" s="1"/>
    </row>
    <row r="151" spans="1:41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AA151" s="1"/>
      <c r="AN151" s="1"/>
      <c r="AO151" s="1"/>
    </row>
    <row r="152" spans="1:41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AA152" s="1"/>
      <c r="AN152" s="1"/>
      <c r="AO152" s="1"/>
    </row>
    <row r="153" spans="1:41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AA153" s="1"/>
      <c r="AN153" s="1"/>
      <c r="AO153" s="1"/>
    </row>
    <row r="154" spans="1:41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AA154" s="1"/>
      <c r="AN154" s="1"/>
      <c r="AO154" s="1"/>
    </row>
    <row r="155" spans="1:41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AA155" s="1"/>
      <c r="AN155" s="1"/>
      <c r="AO155" s="1"/>
    </row>
    <row r="156" spans="1:41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AA156" s="1"/>
      <c r="AN156" s="1"/>
      <c r="AO156" s="1"/>
    </row>
    <row r="157" spans="1:41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AA157" s="1"/>
      <c r="AN157" s="1"/>
      <c r="AO157" s="1"/>
    </row>
    <row r="158" spans="1:41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AA158" s="1"/>
      <c r="AN158" s="1"/>
      <c r="AO158" s="1"/>
    </row>
    <row r="159" spans="1:41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AA159" s="1"/>
      <c r="AN159" s="1"/>
      <c r="AO159" s="1"/>
    </row>
    <row r="160" spans="1:41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AA160" s="1"/>
      <c r="AN160" s="1"/>
      <c r="AO160" s="1"/>
    </row>
    <row r="161" spans="1:41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AA161" s="1"/>
      <c r="AN161" s="1"/>
      <c r="AO161" s="1"/>
    </row>
    <row r="162" spans="1:41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AA162" s="1"/>
      <c r="AN162" s="1"/>
      <c r="AO162" s="1"/>
    </row>
    <row r="163" spans="1:41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AA163" s="1"/>
      <c r="AN163" s="1"/>
      <c r="AO163" s="1"/>
    </row>
    <row r="164" spans="1:41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AA164" s="1"/>
      <c r="AN164" s="1"/>
      <c r="AO164" s="1"/>
    </row>
    <row r="165" spans="1:41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AA165" s="1"/>
      <c r="AN165" s="1"/>
      <c r="AO165" s="1"/>
    </row>
    <row r="166" spans="1:41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AA166" s="1"/>
      <c r="AN166" s="1"/>
      <c r="AO166" s="1"/>
    </row>
    <row r="167" spans="1:41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AA167" s="1"/>
      <c r="AN167" s="1"/>
      <c r="AO167" s="1"/>
    </row>
    <row r="168" spans="1:41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AA168" s="1"/>
      <c r="AN168" s="1"/>
      <c r="AO168" s="1"/>
    </row>
    <row r="169" spans="1:41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AA169" s="1"/>
      <c r="AN169" s="1"/>
      <c r="AO169" s="1"/>
    </row>
    <row r="170" spans="1:41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AA170" s="1"/>
      <c r="AN170" s="1"/>
      <c r="AO170" s="1"/>
    </row>
    <row r="171" spans="1:41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AA171" s="1"/>
      <c r="AN171" s="1"/>
      <c r="AO171" s="1"/>
    </row>
    <row r="172" spans="1:41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AA172" s="1"/>
      <c r="AN172" s="1"/>
      <c r="AO172" s="1"/>
    </row>
    <row r="173" spans="1:41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AA173" s="1"/>
      <c r="AN173" s="1"/>
      <c r="AO173" s="1"/>
    </row>
    <row r="174" spans="1:41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AA174" s="1"/>
      <c r="AN174" s="1"/>
      <c r="AO174" s="1"/>
    </row>
    <row r="175" spans="1:41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AA175" s="1"/>
      <c r="AN175" s="1"/>
      <c r="AO175" s="1"/>
    </row>
    <row r="176" spans="1:41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AA176" s="1"/>
      <c r="AN176" s="1"/>
      <c r="AO176" s="1"/>
    </row>
    <row r="177" spans="1:41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AA177" s="1"/>
      <c r="AN177" s="1"/>
      <c r="AO177" s="1"/>
    </row>
    <row r="178" spans="1:41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AA178" s="1"/>
      <c r="AN178" s="1"/>
      <c r="AO178" s="1"/>
    </row>
    <row r="179" spans="1:41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AA179" s="1"/>
      <c r="AN179" s="1"/>
      <c r="AO179" s="1"/>
    </row>
    <row r="180" spans="1:41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AA180" s="1"/>
      <c r="AN180" s="1"/>
      <c r="AO180" s="1"/>
    </row>
    <row r="181" spans="1:41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AA181" s="1"/>
      <c r="AN181" s="1"/>
      <c r="AO181" s="1"/>
    </row>
    <row r="182" spans="1:41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AA182" s="1"/>
      <c r="AN182" s="1"/>
      <c r="AO182" s="1"/>
    </row>
    <row r="183" spans="1:41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AA183" s="1"/>
      <c r="AN183" s="1"/>
      <c r="AO183" s="1"/>
    </row>
    <row r="184" spans="1:41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AA184" s="1"/>
      <c r="AN184" s="1"/>
      <c r="AO184" s="1"/>
    </row>
    <row r="185" spans="1:41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AA185" s="1"/>
      <c r="AN185" s="1"/>
      <c r="AO185" s="1"/>
    </row>
    <row r="186" spans="1:41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AA186" s="1"/>
      <c r="AN186" s="1"/>
      <c r="AO186" s="1"/>
    </row>
    <row r="187" spans="1:41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AA187" s="1"/>
      <c r="AN187" s="1"/>
      <c r="AO187" s="1"/>
    </row>
    <row r="188" spans="1:41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AA188" s="1"/>
      <c r="AN188" s="1"/>
      <c r="AO188" s="1"/>
    </row>
    <row r="189" spans="1:41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AA189" s="1"/>
      <c r="AN189" s="1"/>
      <c r="AO189" s="1"/>
    </row>
    <row r="190" spans="1:41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AA190" s="1"/>
      <c r="AN190" s="1"/>
      <c r="AO190" s="1"/>
    </row>
    <row r="191" spans="1:41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AA191" s="1"/>
      <c r="AN191" s="1"/>
      <c r="AO191" s="1"/>
    </row>
    <row r="192" spans="1:41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AA192" s="1"/>
      <c r="AN192" s="1"/>
      <c r="AO192" s="1"/>
    </row>
    <row r="193" spans="1:41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AA193" s="1"/>
      <c r="AN193" s="1"/>
      <c r="AO193" s="1"/>
    </row>
    <row r="194" spans="1:41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AA194" s="1"/>
      <c r="AN194" s="1"/>
      <c r="AO194" s="1"/>
    </row>
    <row r="195" spans="1:41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AA195" s="1"/>
      <c r="AN195" s="1"/>
      <c r="AO195" s="1"/>
    </row>
    <row r="196" spans="1:41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AA196" s="1"/>
      <c r="AN196" s="1"/>
      <c r="AO196" s="1"/>
    </row>
    <row r="197" spans="1:41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AA197" s="1"/>
      <c r="AN197" s="1"/>
      <c r="AO197" s="1"/>
    </row>
    <row r="198" spans="1:41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AA198" s="1"/>
      <c r="AN198" s="1"/>
      <c r="AO198" s="1"/>
    </row>
    <row r="199" spans="1:41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AA199" s="1"/>
      <c r="AN199" s="1"/>
      <c r="AO199" s="1"/>
    </row>
    <row r="200" spans="1:41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AA200" s="1"/>
      <c r="AN200" s="1"/>
      <c r="AO200" s="1"/>
    </row>
    <row r="201" spans="1:41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AA201" s="1"/>
      <c r="AN201" s="1"/>
      <c r="AO201" s="1"/>
    </row>
    <row r="202" spans="1:41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AA202" s="1"/>
      <c r="AN202" s="1"/>
      <c r="AO202" s="1"/>
    </row>
    <row r="203" spans="1:41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AA203" s="1"/>
      <c r="AN203" s="1"/>
      <c r="AO203" s="1"/>
    </row>
    <row r="204" spans="1:41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AA204" s="1"/>
      <c r="AN204" s="1"/>
      <c r="AO204" s="1"/>
    </row>
    <row r="205" spans="1:41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AA205" s="1"/>
      <c r="AN205" s="1"/>
      <c r="AO205" s="1"/>
    </row>
    <row r="206" spans="1:41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AA206" s="1"/>
      <c r="AN206" s="1"/>
      <c r="AO206" s="1"/>
    </row>
    <row r="207" spans="1:41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AA207" s="1"/>
      <c r="AN207" s="1"/>
      <c r="AO207" s="1"/>
    </row>
    <row r="208" spans="1:41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AA208" s="1"/>
      <c r="AN208" s="1"/>
      <c r="AO208" s="1"/>
    </row>
    <row r="209" spans="1:41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AA209" s="1"/>
      <c r="AN209" s="1"/>
      <c r="AO209" s="1"/>
    </row>
    <row r="210" spans="1:41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AA210" s="1"/>
      <c r="AN210" s="1"/>
      <c r="AO210" s="1"/>
    </row>
    <row r="211" spans="1:41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AA211" s="1"/>
      <c r="AN211" s="1"/>
      <c r="AO211" s="1"/>
    </row>
    <row r="212" spans="1:41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AA212" s="1"/>
      <c r="AN212" s="1"/>
      <c r="AO212" s="1"/>
    </row>
    <row r="213" spans="1:41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AA213" s="1"/>
      <c r="AN213" s="1"/>
      <c r="AO213" s="1"/>
    </row>
    <row r="214" spans="1:41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AA214" s="1"/>
      <c r="AN214" s="1"/>
      <c r="AO214" s="1"/>
    </row>
    <row r="215" spans="1:41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AA215" s="1"/>
      <c r="AN215" s="1"/>
      <c r="AO215" s="1"/>
    </row>
    <row r="216" spans="1:41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18"/>
      <c r="L216" s="18"/>
      <c r="M216" s="39"/>
      <c r="N216" s="18"/>
      <c r="O216" s="18"/>
      <c r="P216" s="18"/>
      <c r="Q216" s="18"/>
      <c r="AA216" s="1"/>
      <c r="AN216" s="1"/>
      <c r="AO216" s="1"/>
    </row>
    <row r="217" spans="1:41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18"/>
      <c r="L217" s="18"/>
      <c r="M217" s="26"/>
      <c r="N217" s="18"/>
      <c r="O217" s="18"/>
      <c r="P217" s="18"/>
      <c r="Q217" s="18"/>
      <c r="AA217" s="1"/>
      <c r="AN217" s="1"/>
      <c r="AO217" s="1"/>
    </row>
    <row r="218" spans="1:41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18"/>
      <c r="L218" s="18"/>
      <c r="M218" s="26"/>
      <c r="N218" s="18"/>
      <c r="O218" s="18"/>
      <c r="P218" s="18"/>
      <c r="Q218" s="18"/>
      <c r="AA218" s="1"/>
      <c r="AN218" s="1"/>
      <c r="AO218" s="1"/>
    </row>
    <row r="219" spans="1:41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18"/>
      <c r="L219" s="18"/>
      <c r="M219" s="26"/>
      <c r="N219" s="18"/>
      <c r="O219" s="18"/>
      <c r="P219" s="18"/>
      <c r="Q219" s="18"/>
      <c r="AA219" s="1"/>
      <c r="AN219" s="1"/>
      <c r="AO219" s="1"/>
    </row>
    <row r="220" spans="1:41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481"/>
      <c r="L220" s="481"/>
      <c r="M220" s="481"/>
      <c r="N220" s="18"/>
      <c r="O220" s="18"/>
      <c r="P220" s="481"/>
      <c r="Q220" s="481"/>
      <c r="AA220" s="1"/>
      <c r="AN220" s="1"/>
      <c r="AO220" s="1"/>
    </row>
    <row r="221" spans="1:41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18"/>
      <c r="L221" s="474"/>
      <c r="M221" s="474"/>
      <c r="N221" s="18"/>
      <c r="O221" s="18"/>
      <c r="P221" s="18"/>
      <c r="Q221" s="18"/>
      <c r="AA221" s="1"/>
      <c r="AN221" s="1"/>
      <c r="AO221" s="1"/>
    </row>
    <row r="222" spans="1:41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17"/>
      <c r="L222" s="18"/>
      <c r="M222" s="18"/>
      <c r="N222" s="18"/>
      <c r="O222" s="18"/>
      <c r="P222" s="18"/>
      <c r="Q222" s="18"/>
      <c r="AA222" s="1"/>
      <c r="AN222" s="1"/>
      <c r="AO222" s="1"/>
    </row>
    <row r="223" spans="1:41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19"/>
      <c r="L223" s="18"/>
      <c r="M223" s="18"/>
      <c r="N223" s="18"/>
      <c r="O223" s="18"/>
      <c r="P223" s="18"/>
      <c r="Q223" s="18"/>
      <c r="AA223" s="1"/>
      <c r="AN223" s="1"/>
      <c r="AO223" s="1"/>
    </row>
    <row r="224" spans="1:41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17"/>
      <c r="L224" s="1"/>
      <c r="AA224" s="1"/>
      <c r="AN224" s="1"/>
      <c r="AO224" s="1"/>
    </row>
    <row r="225" spans="1:41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4"/>
      <c r="L225" s="1"/>
      <c r="AA225" s="1"/>
      <c r="AN225" s="1"/>
      <c r="AO225" s="1"/>
    </row>
    <row r="226" spans="1:41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4"/>
      <c r="L226" s="1"/>
      <c r="AA226" s="1"/>
      <c r="AN226" s="1"/>
      <c r="AO226" s="1"/>
    </row>
    <row r="227" spans="1:41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4"/>
      <c r="L227" s="1"/>
      <c r="AA227" s="1"/>
      <c r="AN227" s="1"/>
      <c r="AO227" s="1"/>
    </row>
    <row r="228" spans="1:41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4"/>
      <c r="L228" s="1"/>
      <c r="AA228" s="1"/>
      <c r="AN228" s="1"/>
      <c r="AO228" s="1"/>
    </row>
    <row r="229" spans="1:41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4"/>
      <c r="L229" s="1"/>
      <c r="AA229" s="1"/>
      <c r="AN229" s="1"/>
      <c r="AO229" s="1"/>
    </row>
    <row r="230" spans="1:41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4"/>
      <c r="L230" s="1"/>
      <c r="AA230" s="1"/>
      <c r="AN230" s="1"/>
      <c r="AO230" s="1"/>
    </row>
    <row r="231" spans="1:41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4"/>
      <c r="L231" s="1"/>
      <c r="AA231" s="1"/>
      <c r="AN231" s="1"/>
      <c r="AO231" s="1"/>
    </row>
    <row r="232" spans="1:41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4"/>
      <c r="L232" s="1"/>
      <c r="AA232" s="1"/>
      <c r="AN232" s="1"/>
      <c r="AO232" s="1"/>
    </row>
    <row r="233" spans="1:41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4"/>
      <c r="L233" s="1"/>
      <c r="AA233" s="1"/>
      <c r="AN233" s="1"/>
      <c r="AO233" s="1"/>
    </row>
    <row r="234" spans="1:41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4"/>
      <c r="L234" s="1"/>
      <c r="AA234" s="1"/>
      <c r="AN234" s="1"/>
      <c r="AO234" s="1"/>
    </row>
    <row r="235" spans="1:41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4"/>
      <c r="L235" s="1"/>
      <c r="AA235" s="1"/>
      <c r="AN235" s="1"/>
      <c r="AO235" s="1"/>
    </row>
    <row r="236" spans="1:41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4"/>
      <c r="L236" s="1"/>
      <c r="AA236" s="1"/>
      <c r="AN236" s="1"/>
      <c r="AO236" s="1"/>
    </row>
    <row r="237" spans="1:41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4"/>
      <c r="L237" s="1"/>
      <c r="AA237" s="1"/>
      <c r="AN237" s="1"/>
      <c r="AO237" s="1"/>
    </row>
    <row r="238" spans="1:41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AA238" s="1"/>
      <c r="AN238" s="1"/>
      <c r="AO238" s="1"/>
    </row>
    <row r="239" spans="1:41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AA239" s="1"/>
      <c r="AN239" s="1"/>
      <c r="AO239" s="1"/>
    </row>
    <row r="240" spans="1:41" ht="12" customHeight="1">
      <c r="A240" s="18"/>
      <c r="B240" s="18"/>
      <c r="C240" s="18"/>
      <c r="D240" s="26"/>
      <c r="E240" s="18"/>
      <c r="F240" s="18"/>
      <c r="G240" s="18"/>
      <c r="H240" s="18"/>
      <c r="I240" s="18"/>
      <c r="J240" s="71"/>
      <c r="AA240" s="1"/>
      <c r="AN240" s="1"/>
      <c r="AO240" s="1"/>
    </row>
    <row r="241" spans="1:41" ht="12" customHeight="1">
      <c r="A241" s="18"/>
      <c r="B241" s="18"/>
      <c r="C241" s="18"/>
      <c r="D241" s="26"/>
      <c r="E241" s="18"/>
      <c r="F241" s="18"/>
      <c r="G241" s="18"/>
      <c r="H241" s="18"/>
      <c r="I241" s="18"/>
      <c r="J241" s="71"/>
      <c r="AA241" s="1"/>
      <c r="AN241" s="1"/>
      <c r="AO241" s="1"/>
    </row>
    <row r="242" spans="1:41" ht="12" customHeight="1">
      <c r="A242" s="18"/>
      <c r="B242" s="18"/>
      <c r="C242" s="18"/>
      <c r="D242" s="26"/>
      <c r="E242" s="18"/>
      <c r="F242" s="18"/>
      <c r="G242" s="18"/>
      <c r="H242" s="18"/>
      <c r="I242" s="18"/>
      <c r="J242" s="71"/>
      <c r="AA242" s="1"/>
      <c r="AN242" s="1"/>
      <c r="AO242" s="1"/>
    </row>
    <row r="243" spans="1:41" ht="12" customHeight="1">
      <c r="A243" s="18"/>
      <c r="B243" s="18"/>
      <c r="C243" s="18"/>
      <c r="D243" s="26"/>
      <c r="E243" s="18"/>
      <c r="F243" s="18"/>
      <c r="G243" s="18"/>
      <c r="H243" s="18"/>
      <c r="I243" s="18"/>
      <c r="J243" s="71"/>
      <c r="AA243" s="1"/>
      <c r="AN243" s="1"/>
      <c r="AO243" s="1"/>
    </row>
    <row r="244" spans="1:41" ht="12" customHeight="1">
      <c r="A244" s="18"/>
      <c r="B244" s="18"/>
      <c r="C244" s="18"/>
      <c r="D244" s="18"/>
      <c r="E244" s="18"/>
      <c r="F244" s="26"/>
      <c r="G244" s="26"/>
      <c r="H244" s="26"/>
      <c r="I244" s="26"/>
      <c r="J244" s="71"/>
      <c r="AA244" s="1"/>
      <c r="AN244" s="1"/>
      <c r="AO244" s="1"/>
    </row>
    <row r="245" spans="1:41" ht="12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71"/>
      <c r="AA245" s="1"/>
      <c r="AN245" s="1"/>
      <c r="AO245" s="1"/>
    </row>
    <row r="246" spans="1:41" ht="12" customHeight="1">
      <c r="A246" s="18"/>
      <c r="B246" s="18"/>
      <c r="C246" s="18"/>
      <c r="D246" s="97"/>
      <c r="E246" s="98"/>
      <c r="F246" s="98"/>
      <c r="G246" s="98"/>
      <c r="H246" s="98"/>
      <c r="I246" s="17"/>
      <c r="J246" s="71"/>
      <c r="AA246" s="1"/>
      <c r="AN246" s="1"/>
      <c r="AO246" s="1"/>
    </row>
    <row r="247" spans="1:41" ht="12" customHeight="1">
      <c r="A247" s="18"/>
      <c r="B247" s="18"/>
      <c r="C247" s="18"/>
      <c r="D247" s="97"/>
      <c r="E247" s="98"/>
      <c r="F247" s="98"/>
      <c r="G247" s="98"/>
      <c r="H247" s="98"/>
      <c r="I247" s="19"/>
      <c r="J247" s="71"/>
      <c r="AA247" s="1"/>
      <c r="AN247" s="1"/>
      <c r="AO247" s="1"/>
    </row>
    <row r="248" spans="1:41" ht="12" customHeight="1">
      <c r="A248" s="18"/>
      <c r="B248" s="95"/>
      <c r="D248" s="99"/>
      <c r="E248" s="100"/>
      <c r="F248" s="100"/>
      <c r="G248" s="100"/>
      <c r="H248" s="100"/>
      <c r="I248" s="17"/>
      <c r="J248" s="71"/>
      <c r="AA248" s="1"/>
      <c r="AN248" s="1"/>
      <c r="AO248" s="1"/>
    </row>
    <row r="249" spans="1:41" ht="12" customHeight="1">
      <c r="A249" s="18"/>
      <c r="D249" s="99"/>
      <c r="F249" s="100"/>
      <c r="G249" s="100"/>
      <c r="H249" s="100"/>
      <c r="J249" s="18"/>
      <c r="AA249" s="1"/>
      <c r="AN249" s="1"/>
      <c r="AO249" s="1"/>
    </row>
    <row r="250" spans="1:41" ht="12" customHeight="1">
      <c r="D250" s="99"/>
      <c r="E250" s="100"/>
      <c r="F250" s="100"/>
      <c r="G250" s="100"/>
      <c r="H250" s="100"/>
      <c r="J250" s="18"/>
      <c r="AA250" s="1"/>
      <c r="AN250" s="1"/>
      <c r="AO250" s="1"/>
    </row>
    <row r="251" spans="1:41" ht="12" customHeight="1">
      <c r="A251" s="95" t="e">
        <f>(F15-#REF!)*12%</f>
        <v>#REF!</v>
      </c>
      <c r="D251" s="99"/>
      <c r="E251" s="100"/>
      <c r="F251" s="100"/>
      <c r="G251" s="100"/>
      <c r="H251" s="100"/>
      <c r="J251" s="18"/>
      <c r="AA251" s="1"/>
      <c r="AN251" s="1"/>
      <c r="AO251" s="1"/>
    </row>
    <row r="252" spans="1:41" ht="12" customHeight="1">
      <c r="A252" s="96"/>
      <c r="D252" s="99"/>
      <c r="E252" s="100"/>
      <c r="F252" s="100"/>
      <c r="G252" s="100"/>
      <c r="H252" s="100"/>
      <c r="J252" s="18"/>
      <c r="AA252" s="1"/>
      <c r="AN252" s="1"/>
      <c r="AO252" s="1"/>
    </row>
    <row r="253" spans="1:41" ht="17.25" customHeight="1">
      <c r="D253" s="99"/>
      <c r="E253" s="100"/>
      <c r="F253" s="100"/>
      <c r="G253" s="100"/>
      <c r="H253" s="100"/>
      <c r="J253" s="18"/>
      <c r="AA253" s="1"/>
      <c r="AN253" s="1"/>
      <c r="AO253" s="1"/>
    </row>
    <row r="254" spans="1:41" ht="15.75" customHeight="1">
      <c r="D254" s="99"/>
      <c r="E254" s="100"/>
      <c r="F254" s="100"/>
      <c r="G254" s="100"/>
      <c r="H254" s="100"/>
      <c r="J254" s="18"/>
      <c r="AA254" s="1"/>
      <c r="AN254" s="1"/>
      <c r="AO254" s="1"/>
    </row>
    <row r="255" spans="1:41" ht="12.75" customHeight="1">
      <c r="D255" s="99"/>
      <c r="E255" s="100"/>
      <c r="F255" s="100"/>
      <c r="G255" s="100"/>
      <c r="H255" s="100"/>
      <c r="J255" s="18"/>
      <c r="AA255" s="1"/>
      <c r="AN255" s="1"/>
      <c r="AO255" s="1"/>
    </row>
    <row r="256" spans="1:41" ht="12.75" customHeight="1">
      <c r="D256" s="99"/>
      <c r="E256" s="100"/>
      <c r="F256" s="100"/>
      <c r="G256" s="100"/>
      <c r="H256" s="100"/>
      <c r="J256" s="18"/>
      <c r="AA256" s="1"/>
      <c r="AN256" s="1"/>
      <c r="AO256" s="1"/>
    </row>
    <row r="257" spans="4:41" ht="12.75" customHeight="1">
      <c r="D257" s="99"/>
      <c r="E257" s="100"/>
      <c r="F257" s="100"/>
      <c r="G257" s="100"/>
      <c r="H257" s="100"/>
      <c r="AA257" s="1"/>
      <c r="AN257" s="1"/>
      <c r="AO257" s="1"/>
    </row>
    <row r="258" spans="4:41" ht="12.75" customHeight="1">
      <c r="D258" s="99"/>
      <c r="E258" s="100"/>
      <c r="F258" s="100"/>
      <c r="G258" s="100"/>
      <c r="H258" s="100"/>
      <c r="AA258" s="1"/>
      <c r="AN258" s="1"/>
      <c r="AO258" s="1"/>
    </row>
    <row r="259" spans="4:41" ht="12.75" customHeight="1">
      <c r="D259" s="99"/>
      <c r="E259" s="100"/>
      <c r="F259" s="100"/>
      <c r="G259" s="100"/>
      <c r="H259" s="100"/>
      <c r="J259" s="4"/>
      <c r="AA259" s="1"/>
      <c r="AN259" s="1"/>
      <c r="AO259" s="1"/>
    </row>
    <row r="260" spans="4:41" ht="12.75" customHeight="1">
      <c r="D260" s="99"/>
      <c r="E260" s="100"/>
      <c r="F260" s="100"/>
      <c r="G260" s="100"/>
      <c r="H260" s="100"/>
      <c r="J260" s="17"/>
      <c r="AA260" s="1"/>
      <c r="AN260" s="1"/>
      <c r="AO260" s="1"/>
    </row>
    <row r="261" spans="4:41" ht="12.75" customHeight="1">
      <c r="D261" s="99"/>
      <c r="E261" s="100"/>
      <c r="F261" s="100"/>
      <c r="G261" s="100"/>
      <c r="H261" s="100"/>
      <c r="J261" s="19"/>
      <c r="AA261" s="1"/>
      <c r="AN261" s="1"/>
      <c r="AO261" s="1"/>
    </row>
    <row r="262" spans="4:41" ht="12.75" customHeight="1">
      <c r="D262" s="99"/>
      <c r="E262" s="100"/>
      <c r="F262" s="100"/>
      <c r="G262" s="100"/>
      <c r="H262" s="100"/>
      <c r="J262" s="17"/>
      <c r="AA262" s="1"/>
      <c r="AN262" s="1"/>
      <c r="AO262" s="1"/>
    </row>
    <row r="263" spans="4:41" ht="12.75" customHeight="1">
      <c r="D263" s="99"/>
      <c r="E263" s="100"/>
      <c r="F263" s="100"/>
      <c r="G263" s="100"/>
      <c r="H263" s="100"/>
      <c r="AA263" s="1"/>
      <c r="AN263" s="1"/>
      <c r="AO263" s="1"/>
    </row>
    <row r="264" spans="4:41" ht="12.75" customHeight="1">
      <c r="D264" s="99"/>
      <c r="E264" s="100"/>
      <c r="F264" s="100"/>
      <c r="G264" s="100"/>
      <c r="H264" s="100"/>
      <c r="AA264" s="1"/>
      <c r="AN264" s="1"/>
      <c r="AO264" s="1"/>
    </row>
    <row r="265" spans="4:41" ht="12.75" customHeight="1">
      <c r="D265" s="99"/>
      <c r="E265" s="100"/>
      <c r="F265" s="100"/>
      <c r="G265" s="100"/>
      <c r="H265" s="100"/>
      <c r="AA265" s="1"/>
      <c r="AN265" s="1"/>
      <c r="AO265" s="1"/>
    </row>
    <row r="266" spans="4:41" ht="12.75" customHeight="1">
      <c r="D266" s="99"/>
      <c r="E266" s="100"/>
      <c r="F266" s="100"/>
      <c r="G266" s="100"/>
      <c r="H266" s="100"/>
      <c r="AA266" s="1"/>
      <c r="AN266" s="1"/>
      <c r="AO266" s="1"/>
    </row>
    <row r="267" spans="4:41" ht="12.75" customHeight="1">
      <c r="D267" s="99"/>
      <c r="E267" s="100"/>
      <c r="F267" s="100"/>
      <c r="G267" s="100"/>
      <c r="H267" s="100"/>
      <c r="AA267" s="1"/>
      <c r="AN267" s="1"/>
      <c r="AO267" s="1"/>
    </row>
    <row r="268" spans="4:41" ht="12.75" customHeight="1">
      <c r="D268" s="99"/>
      <c r="E268" s="100"/>
      <c r="F268" s="100"/>
      <c r="G268" s="100"/>
      <c r="H268" s="100"/>
      <c r="AA268" s="1"/>
      <c r="AN268" s="1"/>
      <c r="AO268" s="1"/>
    </row>
    <row r="269" spans="4:41" ht="12.75" customHeight="1">
      <c r="D269" s="99"/>
      <c r="E269" s="100"/>
      <c r="F269" s="100"/>
      <c r="G269" s="100"/>
      <c r="H269" s="100"/>
      <c r="AA269" s="1"/>
      <c r="AN269" s="1"/>
      <c r="AO269" s="1"/>
    </row>
    <row r="270" spans="4:41" ht="12.75" customHeight="1">
      <c r="D270" s="99"/>
      <c r="E270" s="100"/>
      <c r="F270" s="100"/>
      <c r="G270" s="100"/>
      <c r="H270" s="100"/>
      <c r="AA270" s="1"/>
      <c r="AN270" s="1"/>
      <c r="AO270" s="1"/>
    </row>
    <row r="271" spans="4:41" ht="12.75" customHeight="1">
      <c r="D271" s="99"/>
      <c r="E271" s="100"/>
      <c r="F271" s="100"/>
      <c r="G271" s="100"/>
      <c r="H271" s="100"/>
      <c r="AA271" s="1"/>
      <c r="AN271" s="1"/>
      <c r="AO271" s="1"/>
    </row>
    <row r="272" spans="4:41" ht="12.75" customHeight="1">
      <c r="D272" s="99"/>
      <c r="E272" s="100"/>
      <c r="F272" s="100"/>
      <c r="G272" s="100"/>
      <c r="H272" s="100"/>
      <c r="AA272" s="1"/>
      <c r="AN272" s="1"/>
      <c r="AO272" s="1"/>
    </row>
    <row r="273" spans="4:41" ht="12.75" customHeight="1">
      <c r="D273" s="99"/>
      <c r="E273" s="100"/>
      <c r="F273" s="100"/>
      <c r="G273" s="100"/>
      <c r="H273" s="100"/>
      <c r="AA273" s="1"/>
      <c r="AN273" s="1"/>
      <c r="AO273" s="1"/>
    </row>
    <row r="274" spans="4:41" ht="12.75" customHeight="1">
      <c r="D274" s="99"/>
      <c r="E274" s="100"/>
      <c r="F274" s="100"/>
      <c r="G274" s="100"/>
      <c r="H274" s="100"/>
      <c r="AA274" s="1"/>
      <c r="AN274" s="1"/>
      <c r="AO274" s="1"/>
    </row>
    <row r="275" spans="4:41" ht="12.75" customHeight="1">
      <c r="D275" s="99"/>
      <c r="E275" s="100"/>
      <c r="F275" s="100"/>
      <c r="G275" s="100"/>
      <c r="H275" s="100"/>
      <c r="AA275" s="1"/>
      <c r="AN275" s="1"/>
      <c r="AO275" s="1"/>
    </row>
    <row r="276" spans="4:41" ht="12.75" customHeight="1">
      <c r="D276" s="99"/>
      <c r="E276" s="100"/>
      <c r="F276" s="100"/>
      <c r="G276" s="100"/>
      <c r="H276" s="100"/>
      <c r="AA276" s="1"/>
      <c r="AN276" s="1"/>
      <c r="AO276" s="1"/>
    </row>
    <row r="277" spans="4:41" ht="12.75" customHeight="1">
      <c r="D277" s="99"/>
      <c r="E277" s="100"/>
      <c r="F277" s="100"/>
      <c r="G277" s="100"/>
      <c r="H277" s="100"/>
      <c r="AA277" s="1"/>
      <c r="AN277" s="1"/>
      <c r="AO277" s="1"/>
    </row>
    <row r="278" spans="4:41" ht="12.75" customHeight="1">
      <c r="D278" s="99"/>
      <c r="E278" s="100"/>
      <c r="F278" s="100"/>
      <c r="G278" s="100"/>
      <c r="H278" s="100"/>
      <c r="AA278" s="1"/>
      <c r="AN278" s="1"/>
      <c r="AO278" s="1"/>
    </row>
    <row r="279" spans="4:41" ht="12.75" customHeight="1">
      <c r="D279" s="99"/>
      <c r="E279" s="100"/>
      <c r="F279" s="100"/>
      <c r="G279" s="100"/>
      <c r="H279" s="100"/>
      <c r="AA279" s="1"/>
      <c r="AN279" s="1"/>
      <c r="AO279" s="1"/>
    </row>
    <row r="280" spans="4:41" ht="12.75" customHeight="1">
      <c r="D280" s="99"/>
      <c r="E280" s="100"/>
      <c r="F280" s="100"/>
      <c r="G280" s="100"/>
      <c r="H280" s="100"/>
      <c r="AA280" s="1"/>
      <c r="AN280" s="1"/>
      <c r="AO280" s="1"/>
    </row>
    <row r="281" spans="4:41" ht="12.75" customHeight="1">
      <c r="D281" s="99"/>
      <c r="E281" s="100"/>
      <c r="F281" s="100"/>
      <c r="G281" s="100"/>
      <c r="H281" s="100"/>
      <c r="AA281" s="1"/>
      <c r="AN281" s="1"/>
      <c r="AO281" s="1"/>
    </row>
    <row r="282" spans="4:41" ht="12.75" customHeight="1">
      <c r="D282" s="99"/>
      <c r="E282" s="100"/>
      <c r="F282" s="100"/>
      <c r="G282" s="100"/>
      <c r="H282" s="100"/>
      <c r="AA282" s="1"/>
      <c r="AN282" s="1"/>
      <c r="AO282" s="1"/>
    </row>
    <row r="283" spans="4:41" ht="12.75" customHeight="1">
      <c r="D283" s="99"/>
      <c r="E283" s="100"/>
      <c r="F283" s="100"/>
      <c r="G283" s="100"/>
      <c r="H283" s="100"/>
      <c r="AA283" s="1"/>
      <c r="AN283" s="1"/>
      <c r="AO283" s="1"/>
    </row>
    <row r="284" spans="4:41" ht="12.75" customHeight="1">
      <c r="D284" s="99"/>
      <c r="E284" s="100"/>
      <c r="F284" s="100"/>
      <c r="G284" s="100"/>
      <c r="H284" s="100"/>
      <c r="AA284" s="1"/>
      <c r="AN284" s="1"/>
      <c r="AO284" s="1"/>
    </row>
    <row r="285" spans="4:41" ht="12.75" customHeight="1">
      <c r="D285" s="99"/>
      <c r="E285" s="100"/>
      <c r="F285" s="100"/>
      <c r="G285" s="100"/>
      <c r="H285" s="100"/>
      <c r="AA285" s="1"/>
      <c r="AN285" s="1"/>
      <c r="AO285" s="1"/>
    </row>
    <row r="286" spans="4:41" ht="12.75" customHeight="1">
      <c r="D286" s="99"/>
      <c r="E286" s="100"/>
      <c r="F286" s="100"/>
      <c r="G286" s="100"/>
      <c r="H286" s="100"/>
      <c r="AA286" s="1"/>
      <c r="AN286" s="1"/>
      <c r="AO286" s="1"/>
    </row>
    <row r="287" spans="4:41" ht="12.75" customHeight="1">
      <c r="D287" s="99"/>
      <c r="E287" s="100"/>
      <c r="F287" s="100"/>
      <c r="G287" s="100"/>
      <c r="H287" s="100"/>
      <c r="AA287" s="1"/>
      <c r="AN287" s="1"/>
      <c r="AO287" s="1"/>
    </row>
    <row r="288" spans="4:41" ht="12.75" customHeight="1">
      <c r="D288" s="99"/>
      <c r="E288" s="100"/>
      <c r="F288" s="100"/>
      <c r="G288" s="100"/>
      <c r="H288" s="100"/>
      <c r="AA288" s="1"/>
      <c r="AN288" s="1"/>
      <c r="AO288" s="1"/>
    </row>
    <row r="289" spans="4:41" ht="12.75" customHeight="1">
      <c r="D289" s="99"/>
      <c r="E289" s="100"/>
      <c r="F289" s="100"/>
      <c r="G289" s="100"/>
      <c r="H289" s="100"/>
      <c r="AA289" s="1"/>
      <c r="AN289" s="1"/>
      <c r="AO289" s="1"/>
    </row>
    <row r="290" spans="4:41" ht="12.75" customHeight="1">
      <c r="D290" s="99"/>
      <c r="E290" s="100"/>
      <c r="F290" s="100"/>
      <c r="G290" s="100"/>
      <c r="H290" s="100"/>
      <c r="AA290" s="1"/>
      <c r="AN290" s="1"/>
      <c r="AO290" s="1"/>
    </row>
    <row r="291" spans="4:41" ht="12.75" customHeight="1">
      <c r="D291" s="99"/>
      <c r="E291" s="100"/>
      <c r="F291" s="100"/>
      <c r="G291" s="100"/>
      <c r="H291" s="100"/>
      <c r="AA291" s="1"/>
      <c r="AN291" s="1"/>
      <c r="AO291" s="1"/>
    </row>
    <row r="292" spans="4:41" ht="12.75" customHeight="1">
      <c r="D292" s="99"/>
      <c r="E292" s="100"/>
      <c r="F292" s="100"/>
      <c r="G292" s="100"/>
      <c r="H292" s="100"/>
      <c r="AA292" s="1"/>
      <c r="AN292" s="1"/>
      <c r="AO292" s="1"/>
    </row>
    <row r="293" spans="4:41" ht="12.75" customHeight="1">
      <c r="D293" s="99"/>
      <c r="E293" s="100"/>
      <c r="F293" s="100"/>
      <c r="G293" s="100"/>
      <c r="H293" s="100"/>
      <c r="AA293" s="1"/>
      <c r="AN293" s="1"/>
      <c r="AO293" s="1"/>
    </row>
    <row r="294" spans="4:41" ht="12.75" customHeight="1">
      <c r="D294" s="99"/>
      <c r="E294" s="100"/>
      <c r="F294" s="100"/>
      <c r="G294" s="100"/>
      <c r="H294" s="100"/>
      <c r="AA294" s="1"/>
      <c r="AN294" s="1"/>
      <c r="AO294" s="1"/>
    </row>
    <row r="295" spans="4:41" ht="12.75" customHeight="1">
      <c r="D295" s="99"/>
      <c r="E295" s="100"/>
      <c r="F295" s="100"/>
      <c r="G295" s="100"/>
      <c r="H295" s="100"/>
      <c r="AA295" s="1"/>
      <c r="AN295" s="1"/>
      <c r="AO295" s="1"/>
    </row>
    <row r="296" spans="4:41" ht="12.75" customHeight="1">
      <c r="D296" s="99"/>
      <c r="E296" s="100"/>
      <c r="F296" s="100"/>
      <c r="G296" s="100"/>
      <c r="H296" s="100"/>
      <c r="AA296" s="1"/>
      <c r="AN296" s="1"/>
      <c r="AO296" s="1"/>
    </row>
    <row r="297" spans="4:41" ht="12.75" customHeight="1">
      <c r="D297" s="99"/>
      <c r="E297" s="100"/>
      <c r="F297" s="100"/>
      <c r="G297" s="100"/>
      <c r="H297" s="100"/>
      <c r="AA297" s="1"/>
      <c r="AN297" s="1"/>
      <c r="AO297" s="1"/>
    </row>
    <row r="298" spans="4:41" ht="12.75" customHeight="1">
      <c r="D298" s="99"/>
      <c r="E298" s="100"/>
      <c r="F298" s="100"/>
      <c r="G298" s="100"/>
      <c r="H298" s="100"/>
      <c r="AA298" s="1"/>
      <c r="AN298" s="1"/>
      <c r="AO298" s="1"/>
    </row>
    <row r="299" spans="4:41" ht="12.75" customHeight="1">
      <c r="D299" s="99"/>
      <c r="E299" s="100"/>
      <c r="F299" s="100"/>
      <c r="G299" s="100"/>
      <c r="H299" s="100"/>
      <c r="AA299" s="1"/>
      <c r="AN299" s="1"/>
      <c r="AO299" s="1"/>
    </row>
    <row r="300" spans="4:41" ht="12.75" customHeight="1">
      <c r="D300" s="99"/>
      <c r="E300" s="100"/>
      <c r="F300" s="100"/>
      <c r="G300" s="100"/>
      <c r="H300" s="100"/>
      <c r="AA300" s="1"/>
      <c r="AN300" s="1"/>
      <c r="AO300" s="1"/>
    </row>
    <row r="301" spans="4:41" ht="12.75" customHeight="1">
      <c r="D301" s="99"/>
      <c r="E301" s="100"/>
      <c r="F301" s="100"/>
      <c r="G301" s="100"/>
      <c r="H301" s="100"/>
      <c r="AA301" s="1"/>
      <c r="AN301" s="1"/>
      <c r="AO301" s="1"/>
    </row>
    <row r="302" spans="4:41" ht="12.75" customHeight="1">
      <c r="D302" s="99"/>
      <c r="E302" s="100"/>
      <c r="F302" s="100"/>
      <c r="G302" s="100"/>
      <c r="H302" s="100"/>
      <c r="AA302" s="1"/>
      <c r="AN302" s="1"/>
      <c r="AO302" s="1"/>
    </row>
    <row r="303" spans="4:41" ht="12.75" customHeight="1">
      <c r="D303" s="99"/>
      <c r="E303" s="100"/>
      <c r="F303" s="100"/>
      <c r="G303" s="100"/>
      <c r="H303" s="100"/>
      <c r="AA303" s="1"/>
      <c r="AN303" s="1"/>
      <c r="AO303" s="1"/>
    </row>
    <row r="304" spans="4:41" ht="12.75" customHeight="1">
      <c r="D304" s="99"/>
      <c r="E304" s="100"/>
      <c r="F304" s="100"/>
      <c r="G304" s="100"/>
      <c r="H304" s="100"/>
      <c r="AA304" s="1"/>
      <c r="AN304" s="1"/>
      <c r="AO304" s="1"/>
    </row>
    <row r="305" spans="4:41" ht="12.75" customHeight="1">
      <c r="D305" s="99"/>
      <c r="E305" s="100"/>
      <c r="F305" s="100"/>
      <c r="G305" s="100"/>
      <c r="H305" s="100"/>
      <c r="AA305" s="1"/>
      <c r="AN305" s="1"/>
      <c r="AO305" s="1"/>
    </row>
    <row r="306" spans="4:41" ht="12.75" customHeight="1">
      <c r="D306" s="99"/>
      <c r="E306" s="100"/>
      <c r="F306" s="100"/>
      <c r="G306" s="100"/>
      <c r="H306" s="100"/>
      <c r="AA306" s="1"/>
      <c r="AN306" s="1"/>
      <c r="AO306" s="1"/>
    </row>
    <row r="307" spans="4:41" ht="12.75" customHeight="1">
      <c r="D307" s="99"/>
      <c r="E307" s="100"/>
      <c r="F307" s="100"/>
      <c r="G307" s="100"/>
      <c r="H307" s="100"/>
      <c r="AA307" s="1"/>
      <c r="AN307" s="1"/>
      <c r="AO307" s="1"/>
    </row>
    <row r="308" spans="4:41" ht="12.75" customHeight="1">
      <c r="D308" s="99"/>
      <c r="E308" s="100"/>
      <c r="F308" s="100"/>
      <c r="G308" s="100"/>
      <c r="H308" s="100"/>
      <c r="AA308" s="1"/>
      <c r="AN308" s="1"/>
      <c r="AO308" s="1"/>
    </row>
    <row r="309" spans="4:41" ht="12.75" customHeight="1">
      <c r="D309" s="99"/>
      <c r="E309" s="100"/>
      <c r="F309" s="100"/>
      <c r="G309" s="100"/>
      <c r="H309" s="100"/>
      <c r="AA309" s="1"/>
      <c r="AN309" s="1"/>
      <c r="AO309" s="1"/>
    </row>
    <row r="310" spans="4:41" ht="12.75" customHeight="1">
      <c r="D310" s="99"/>
      <c r="E310" s="100"/>
      <c r="F310" s="100"/>
      <c r="G310" s="100"/>
      <c r="H310" s="100"/>
      <c r="AA310" s="1"/>
      <c r="AN310" s="1"/>
      <c r="AO310" s="1"/>
    </row>
    <row r="311" spans="4:41" ht="12.75" customHeight="1">
      <c r="D311" s="99"/>
      <c r="E311" s="100"/>
      <c r="F311" s="100"/>
      <c r="G311" s="100"/>
      <c r="H311" s="100"/>
      <c r="AA311" s="1"/>
      <c r="AN311" s="1"/>
      <c r="AO311" s="1"/>
    </row>
    <row r="312" spans="4:41" ht="12.75" customHeight="1">
      <c r="D312" s="99"/>
      <c r="E312" s="100"/>
      <c r="F312" s="100"/>
      <c r="G312" s="100"/>
      <c r="H312" s="100"/>
      <c r="AA312" s="1"/>
      <c r="AN312" s="1"/>
      <c r="AO312" s="1"/>
    </row>
    <row r="313" spans="4:41" ht="12.75" customHeight="1">
      <c r="D313" s="99"/>
      <c r="E313" s="100"/>
      <c r="F313" s="100"/>
      <c r="G313" s="100"/>
      <c r="H313" s="100"/>
      <c r="AA313" s="1"/>
      <c r="AN313" s="1"/>
      <c r="AO313" s="1"/>
    </row>
    <row r="314" spans="4:41" ht="12.75" customHeight="1">
      <c r="D314" s="99"/>
      <c r="E314" s="100"/>
      <c r="F314" s="100"/>
      <c r="G314" s="100"/>
      <c r="H314" s="100"/>
      <c r="AA314" s="1"/>
      <c r="AN314" s="1"/>
      <c r="AO314" s="1"/>
    </row>
    <row r="315" spans="4:41" ht="12.75" customHeight="1">
      <c r="D315" s="99"/>
      <c r="E315" s="100"/>
      <c r="F315" s="100"/>
      <c r="G315" s="100"/>
      <c r="H315" s="100"/>
      <c r="AA315" s="1"/>
      <c r="AN315" s="1"/>
      <c r="AO315" s="1"/>
    </row>
    <row r="316" spans="4:41" ht="12.75" customHeight="1">
      <c r="D316" s="99"/>
      <c r="E316" s="100"/>
      <c r="F316" s="100"/>
      <c r="G316" s="100"/>
      <c r="H316" s="100"/>
      <c r="AA316" s="1"/>
      <c r="AN316" s="1"/>
      <c r="AO316" s="1"/>
    </row>
    <row r="317" spans="4:41" ht="12.75" customHeight="1">
      <c r="D317" s="99"/>
      <c r="E317" s="100"/>
      <c r="F317" s="100"/>
      <c r="G317" s="100"/>
      <c r="H317" s="100"/>
      <c r="AA317" s="1"/>
      <c r="AN317" s="1"/>
      <c r="AO317" s="1"/>
    </row>
    <row r="318" spans="4:41" ht="12.75" customHeight="1">
      <c r="D318" s="99"/>
      <c r="E318" s="100"/>
      <c r="F318" s="100"/>
      <c r="G318" s="100"/>
      <c r="H318" s="100"/>
      <c r="AA318" s="1"/>
      <c r="AN318" s="1"/>
      <c r="AO318" s="1"/>
    </row>
    <row r="319" spans="4:41" ht="12.75" customHeight="1">
      <c r="D319" s="99"/>
      <c r="E319" s="100"/>
      <c r="F319" s="100"/>
      <c r="G319" s="100"/>
      <c r="H319" s="100"/>
      <c r="AA319" s="1"/>
      <c r="AN319" s="1"/>
      <c r="AO319" s="1"/>
    </row>
    <row r="320" spans="4:41" ht="12.75" customHeight="1">
      <c r="D320" s="99"/>
      <c r="E320" s="100"/>
      <c r="F320" s="100"/>
      <c r="G320" s="100"/>
      <c r="H320" s="100"/>
      <c r="AA320" s="1"/>
      <c r="AN320" s="1"/>
      <c r="AO320" s="1"/>
    </row>
    <row r="321" spans="4:41" ht="12.75" customHeight="1">
      <c r="D321" s="99"/>
      <c r="E321" s="100"/>
      <c r="F321" s="100"/>
      <c r="G321" s="100"/>
      <c r="H321" s="100"/>
      <c r="AA321" s="1"/>
      <c r="AN321" s="1"/>
      <c r="AO321" s="1"/>
    </row>
    <row r="322" spans="4:41" ht="12.75" customHeight="1">
      <c r="D322" s="99"/>
      <c r="E322" s="100"/>
      <c r="F322" s="100"/>
      <c r="G322" s="100"/>
      <c r="H322" s="100"/>
      <c r="AA322" s="1"/>
      <c r="AN322" s="1"/>
      <c r="AO322" s="1"/>
    </row>
    <row r="323" spans="4:41" ht="12.75" customHeight="1">
      <c r="D323" s="99"/>
      <c r="E323" s="100"/>
      <c r="F323" s="100"/>
      <c r="G323" s="100"/>
      <c r="H323" s="100"/>
      <c r="AA323" s="1"/>
      <c r="AN323" s="1"/>
      <c r="AO323" s="1"/>
    </row>
    <row r="324" spans="4:41" ht="12.75" customHeight="1">
      <c r="D324" s="99"/>
      <c r="E324" s="100"/>
      <c r="F324" s="100"/>
      <c r="G324" s="100"/>
      <c r="H324" s="100"/>
      <c r="AA324" s="1"/>
      <c r="AN324" s="1"/>
      <c r="AO324" s="1"/>
    </row>
    <row r="325" spans="4:41" ht="12.75" customHeight="1">
      <c r="D325" s="99"/>
      <c r="E325" s="100"/>
      <c r="F325" s="100"/>
      <c r="G325" s="100"/>
      <c r="H325" s="100"/>
      <c r="AA325" s="1"/>
      <c r="AN325" s="1"/>
      <c r="AO325" s="1"/>
    </row>
    <row r="326" spans="4:41" ht="12.75" customHeight="1">
      <c r="D326" s="99"/>
      <c r="E326" s="100"/>
      <c r="F326" s="100"/>
      <c r="G326" s="100"/>
      <c r="H326" s="100"/>
      <c r="AA326" s="1"/>
      <c r="AN326" s="1"/>
      <c r="AO326" s="1"/>
    </row>
    <row r="327" spans="4:41" ht="12.75" customHeight="1">
      <c r="D327" s="99"/>
      <c r="E327" s="100"/>
      <c r="F327" s="100"/>
      <c r="G327" s="100"/>
      <c r="H327" s="100"/>
      <c r="AA327" s="1"/>
      <c r="AN327" s="1"/>
      <c r="AO327" s="1"/>
    </row>
    <row r="328" spans="4:41" ht="12.75" customHeight="1">
      <c r="D328" s="99"/>
      <c r="E328" s="100"/>
      <c r="F328" s="100"/>
      <c r="G328" s="100"/>
      <c r="H328" s="100"/>
      <c r="AA328" s="1"/>
      <c r="AN328" s="1"/>
      <c r="AO328" s="1"/>
    </row>
    <row r="329" spans="4:41" ht="12.75" customHeight="1">
      <c r="D329" s="99"/>
      <c r="E329" s="100"/>
      <c r="F329" s="100"/>
      <c r="G329" s="100"/>
      <c r="H329" s="100"/>
      <c r="AA329" s="1"/>
      <c r="AN329" s="1"/>
      <c r="AO329" s="1"/>
    </row>
    <row r="330" spans="4:41" ht="12.75" customHeight="1">
      <c r="D330" s="99"/>
      <c r="E330" s="100"/>
      <c r="F330" s="100"/>
      <c r="G330" s="100"/>
      <c r="H330" s="100"/>
      <c r="AA330" s="1"/>
      <c r="AN330" s="1"/>
      <c r="AO330" s="1"/>
    </row>
    <row r="331" spans="4:41" ht="12.75" customHeight="1">
      <c r="D331" s="99"/>
      <c r="E331" s="100"/>
      <c r="F331" s="100"/>
      <c r="G331" s="100"/>
      <c r="H331" s="100"/>
      <c r="AA331" s="1"/>
      <c r="AN331" s="1"/>
      <c r="AO331" s="1"/>
    </row>
    <row r="332" spans="4:41" ht="12.75" customHeight="1">
      <c r="D332" s="99"/>
      <c r="E332" s="100"/>
      <c r="F332" s="100"/>
      <c r="G332" s="100"/>
      <c r="H332" s="100"/>
      <c r="AA332" s="1"/>
      <c r="AN332" s="1"/>
      <c r="AO332" s="1"/>
    </row>
    <row r="333" spans="4:41" ht="12.75" customHeight="1">
      <c r="D333" s="99"/>
      <c r="E333" s="100"/>
      <c r="F333" s="100"/>
      <c r="G333" s="100"/>
      <c r="H333" s="100"/>
      <c r="AA333" s="1"/>
      <c r="AN333" s="1"/>
      <c r="AO333" s="1"/>
    </row>
    <row r="334" spans="4:41" ht="12.75" customHeight="1">
      <c r="D334" s="99"/>
      <c r="E334" s="100"/>
      <c r="F334" s="100"/>
      <c r="G334" s="100"/>
      <c r="H334" s="100"/>
      <c r="AA334" s="1"/>
      <c r="AN334" s="1"/>
      <c r="AO334" s="1"/>
    </row>
    <row r="335" spans="4:41" ht="12.75" customHeight="1">
      <c r="D335" s="99"/>
      <c r="E335" s="100"/>
      <c r="F335" s="100"/>
      <c r="G335" s="100"/>
      <c r="H335" s="100"/>
      <c r="AA335" s="1"/>
      <c r="AN335" s="1"/>
      <c r="AO335" s="1"/>
    </row>
    <row r="336" spans="4:41" ht="12.75" customHeight="1">
      <c r="D336" s="99"/>
      <c r="E336" s="100"/>
      <c r="F336" s="100"/>
      <c r="G336" s="100"/>
      <c r="H336" s="100"/>
      <c r="AA336" s="1"/>
      <c r="AN336" s="1"/>
      <c r="AO336" s="1"/>
    </row>
    <row r="337" spans="4:41" ht="12.75" customHeight="1">
      <c r="D337" s="99"/>
      <c r="E337" s="100"/>
      <c r="F337" s="100"/>
      <c r="G337" s="100"/>
      <c r="H337" s="100"/>
      <c r="AA337" s="1"/>
      <c r="AN337" s="1"/>
      <c r="AO337" s="1"/>
    </row>
    <row r="338" spans="4:41" ht="12.75" customHeight="1">
      <c r="D338" s="99"/>
      <c r="E338" s="100"/>
      <c r="F338" s="100"/>
      <c r="G338" s="100"/>
      <c r="H338" s="100"/>
      <c r="AA338" s="1"/>
      <c r="AN338" s="1"/>
      <c r="AO338" s="1"/>
    </row>
    <row r="339" spans="4:41" ht="12.75" customHeight="1">
      <c r="D339" s="99"/>
      <c r="E339" s="100"/>
      <c r="F339" s="100"/>
      <c r="G339" s="100"/>
      <c r="H339" s="100"/>
      <c r="AA339" s="1"/>
      <c r="AN339" s="1"/>
      <c r="AO339" s="1"/>
    </row>
    <row r="340" spans="4:41" ht="12.75" customHeight="1">
      <c r="D340" s="99"/>
      <c r="E340" s="100"/>
      <c r="F340" s="100"/>
      <c r="G340" s="100"/>
      <c r="H340" s="100"/>
      <c r="AA340" s="1"/>
      <c r="AN340" s="1"/>
      <c r="AO340" s="1"/>
    </row>
    <row r="341" spans="4:41" ht="12.75" customHeight="1">
      <c r="D341" s="99"/>
      <c r="E341" s="100"/>
      <c r="F341" s="100"/>
      <c r="G341" s="100"/>
      <c r="H341" s="100"/>
      <c r="AA341" s="1"/>
      <c r="AN341" s="1"/>
      <c r="AO341" s="1"/>
    </row>
    <row r="342" spans="4:41" ht="12.75" customHeight="1">
      <c r="D342" s="99"/>
      <c r="E342" s="100"/>
      <c r="F342" s="100"/>
      <c r="G342" s="100"/>
      <c r="H342" s="100"/>
      <c r="AA342" s="1"/>
      <c r="AN342" s="1"/>
      <c r="AO342" s="1"/>
    </row>
    <row r="343" spans="4:41" ht="12.75" customHeight="1">
      <c r="D343" s="99"/>
      <c r="E343" s="100"/>
      <c r="F343" s="100"/>
      <c r="G343" s="100"/>
      <c r="H343" s="100"/>
      <c r="AA343" s="1"/>
      <c r="AN343" s="1"/>
      <c r="AO343" s="1"/>
    </row>
    <row r="344" spans="4:41" ht="12.75" customHeight="1">
      <c r="D344" s="99"/>
      <c r="E344" s="100"/>
      <c r="F344" s="100"/>
      <c r="G344" s="100"/>
      <c r="H344" s="100"/>
      <c r="AA344" s="1"/>
      <c r="AN344" s="1"/>
      <c r="AO344" s="1"/>
    </row>
    <row r="345" spans="4:41" ht="12.75" customHeight="1">
      <c r="D345" s="99"/>
      <c r="E345" s="100"/>
      <c r="F345" s="100"/>
      <c r="G345" s="100"/>
      <c r="H345" s="100"/>
      <c r="AA345" s="1"/>
      <c r="AN345" s="1"/>
      <c r="AO345" s="1"/>
    </row>
    <row r="346" spans="4:41" ht="12.75" customHeight="1">
      <c r="D346" s="99"/>
      <c r="E346" s="100"/>
      <c r="F346" s="100"/>
      <c r="G346" s="100"/>
      <c r="H346" s="100"/>
      <c r="AA346" s="1"/>
      <c r="AN346" s="1"/>
      <c r="AO346" s="1"/>
    </row>
    <row r="347" spans="4:41" ht="12.75" customHeight="1">
      <c r="D347" s="99"/>
      <c r="E347" s="100"/>
      <c r="F347" s="100"/>
      <c r="G347" s="100"/>
      <c r="H347" s="100"/>
      <c r="AA347" s="1"/>
      <c r="AN347" s="1"/>
      <c r="AO347" s="1"/>
    </row>
    <row r="348" spans="4:41" ht="12.75" customHeight="1">
      <c r="D348" s="99"/>
      <c r="E348" s="100"/>
      <c r="F348" s="100"/>
      <c r="G348" s="100"/>
      <c r="H348" s="100"/>
      <c r="AA348" s="1"/>
      <c r="AN348" s="1"/>
      <c r="AO348" s="1"/>
    </row>
    <row r="349" spans="4:41" ht="12.75" customHeight="1">
      <c r="D349" s="99"/>
      <c r="E349" s="100"/>
      <c r="F349" s="100"/>
      <c r="G349" s="100"/>
      <c r="H349" s="100"/>
      <c r="AA349" s="1"/>
      <c r="AN349" s="1"/>
      <c r="AO349" s="1"/>
    </row>
    <row r="350" spans="4:41" ht="12.75" customHeight="1">
      <c r="D350" s="99"/>
      <c r="E350" s="100"/>
      <c r="F350" s="100"/>
      <c r="G350" s="100"/>
      <c r="H350" s="100"/>
      <c r="AA350" s="1"/>
      <c r="AN350" s="1"/>
      <c r="AO350" s="1"/>
    </row>
    <row r="351" spans="4:41" ht="12.75" customHeight="1">
      <c r="D351" s="99"/>
      <c r="E351" s="100"/>
      <c r="F351" s="100"/>
      <c r="G351" s="100"/>
      <c r="H351" s="100"/>
      <c r="AA351" s="1"/>
      <c r="AN351" s="1"/>
      <c r="AO351" s="1"/>
    </row>
    <row r="352" spans="4:41" ht="12.75" customHeight="1">
      <c r="D352" s="99"/>
      <c r="E352" s="100"/>
      <c r="F352" s="100"/>
      <c r="G352" s="100"/>
      <c r="H352" s="100"/>
      <c r="AA352" s="1"/>
      <c r="AN352" s="1"/>
      <c r="AO352" s="1"/>
    </row>
    <row r="353" spans="4:41" ht="12.75" customHeight="1">
      <c r="D353" s="99"/>
      <c r="E353" s="100"/>
      <c r="F353" s="100"/>
      <c r="G353" s="100"/>
      <c r="H353" s="100"/>
      <c r="AA353" s="1"/>
      <c r="AN353" s="1"/>
      <c r="AO353" s="1"/>
    </row>
    <row r="354" spans="4:41" ht="12.75" customHeight="1">
      <c r="D354" s="99"/>
      <c r="E354" s="100"/>
      <c r="F354" s="100"/>
      <c r="G354" s="100"/>
      <c r="H354" s="100"/>
      <c r="AA354" s="1"/>
      <c r="AN354" s="1"/>
      <c r="AO354" s="1"/>
    </row>
    <row r="355" spans="4:41" ht="12.75" customHeight="1">
      <c r="D355" s="99"/>
      <c r="E355" s="100"/>
      <c r="F355" s="100"/>
      <c r="G355" s="100"/>
      <c r="H355" s="100"/>
      <c r="AA355" s="1"/>
      <c r="AN355" s="1"/>
      <c r="AO355" s="1"/>
    </row>
    <row r="356" spans="4:41" ht="12.75" customHeight="1">
      <c r="D356" s="99"/>
      <c r="E356" s="100"/>
      <c r="F356" s="100"/>
      <c r="G356" s="100"/>
      <c r="H356" s="100"/>
      <c r="AA356" s="1"/>
      <c r="AN356" s="1"/>
      <c r="AO356" s="1"/>
    </row>
    <row r="357" spans="4:41" ht="12.75" customHeight="1">
      <c r="D357" s="99"/>
      <c r="E357" s="100"/>
      <c r="F357" s="100"/>
      <c r="G357" s="100"/>
      <c r="H357" s="100"/>
      <c r="AA357" s="1"/>
      <c r="AN357" s="1"/>
      <c r="AO357" s="1"/>
    </row>
    <row r="358" spans="4:41" ht="12.75" customHeight="1">
      <c r="D358" s="99"/>
      <c r="E358" s="100"/>
      <c r="F358" s="100"/>
      <c r="G358" s="100"/>
      <c r="H358" s="100"/>
      <c r="AA358" s="1"/>
      <c r="AN358" s="1"/>
      <c r="AO358" s="1"/>
    </row>
    <row r="359" spans="4:41" ht="12.75" customHeight="1">
      <c r="D359" s="99"/>
      <c r="E359" s="100"/>
      <c r="F359" s="100"/>
      <c r="G359" s="100"/>
      <c r="H359" s="100"/>
      <c r="AA359" s="1"/>
      <c r="AN359" s="1"/>
      <c r="AO359" s="1"/>
    </row>
    <row r="360" spans="4:41" ht="12.75" customHeight="1">
      <c r="D360" s="99"/>
      <c r="E360" s="100"/>
      <c r="F360" s="100"/>
      <c r="G360" s="100"/>
      <c r="H360" s="100"/>
      <c r="AA360" s="1"/>
      <c r="AN360" s="1"/>
      <c r="AO360" s="1"/>
    </row>
    <row r="361" spans="4:41" ht="12.75" customHeight="1">
      <c r="D361" s="99"/>
      <c r="E361" s="100"/>
      <c r="F361" s="100"/>
      <c r="G361" s="100"/>
      <c r="H361" s="100"/>
      <c r="AA361" s="1"/>
      <c r="AN361" s="1"/>
      <c r="AO361" s="1"/>
    </row>
    <row r="362" spans="4:41" ht="12.75" customHeight="1">
      <c r="D362" s="99"/>
      <c r="E362" s="100"/>
      <c r="F362" s="100"/>
      <c r="G362" s="100"/>
      <c r="H362" s="100"/>
      <c r="AA362" s="1"/>
      <c r="AN362" s="1"/>
      <c r="AO362" s="1"/>
    </row>
    <row r="363" spans="4:41" ht="12.75" customHeight="1">
      <c r="D363" s="99"/>
      <c r="E363" s="100"/>
      <c r="F363" s="100"/>
      <c r="G363" s="100"/>
      <c r="H363" s="100"/>
      <c r="AA363" s="1"/>
      <c r="AN363" s="1"/>
      <c r="AO363" s="1"/>
    </row>
    <row r="364" spans="4:41" ht="12.75" customHeight="1">
      <c r="D364" s="99"/>
      <c r="E364" s="100"/>
      <c r="F364" s="100"/>
      <c r="G364" s="100"/>
      <c r="H364" s="100"/>
      <c r="AA364" s="1"/>
      <c r="AN364" s="1"/>
      <c r="AO364" s="1"/>
    </row>
    <row r="365" spans="4:41" ht="12.75" customHeight="1">
      <c r="D365" s="99"/>
      <c r="E365" s="100"/>
      <c r="F365" s="100"/>
      <c r="G365" s="100"/>
      <c r="H365" s="100"/>
      <c r="AA365" s="1"/>
      <c r="AN365" s="1"/>
      <c r="AO365" s="1"/>
    </row>
    <row r="366" spans="4:41" ht="12.75" customHeight="1">
      <c r="D366" s="99"/>
      <c r="E366" s="100"/>
      <c r="F366" s="100"/>
      <c r="G366" s="100"/>
      <c r="H366" s="100"/>
      <c r="AA366" s="1"/>
      <c r="AN366" s="1"/>
      <c r="AO366" s="1"/>
    </row>
    <row r="367" spans="4:41" ht="12.75" customHeight="1">
      <c r="D367" s="99"/>
      <c r="E367" s="100"/>
      <c r="F367" s="100"/>
      <c r="G367" s="100"/>
      <c r="H367" s="100"/>
      <c r="AA367" s="1"/>
      <c r="AN367" s="1"/>
      <c r="AO367" s="1"/>
    </row>
    <row r="368" spans="4:41" ht="12.75" customHeight="1">
      <c r="D368" s="99"/>
      <c r="E368" s="100"/>
      <c r="F368" s="100"/>
      <c r="G368" s="100"/>
      <c r="H368" s="100"/>
      <c r="AA368" s="1"/>
      <c r="AN368" s="1"/>
      <c r="AO368" s="1"/>
    </row>
    <row r="369" spans="4:41" ht="12.75" customHeight="1">
      <c r="D369" s="99"/>
      <c r="E369" s="100"/>
      <c r="F369" s="100"/>
      <c r="G369" s="100"/>
      <c r="H369" s="100"/>
      <c r="AA369" s="1"/>
      <c r="AN369" s="1"/>
      <c r="AO369" s="1"/>
    </row>
    <row r="370" spans="4:41" ht="12.75" customHeight="1">
      <c r="D370" s="99"/>
      <c r="E370" s="100"/>
      <c r="F370" s="100"/>
      <c r="G370" s="100"/>
      <c r="H370" s="100"/>
      <c r="AA370" s="1"/>
      <c r="AN370" s="1"/>
      <c r="AO370" s="1"/>
    </row>
    <row r="371" spans="4:41" ht="12.75" customHeight="1">
      <c r="D371" s="99"/>
      <c r="E371" s="100"/>
      <c r="F371" s="100"/>
      <c r="G371" s="100"/>
      <c r="H371" s="100"/>
      <c r="AA371" s="1"/>
      <c r="AN371" s="1"/>
      <c r="AO371" s="1"/>
    </row>
    <row r="372" spans="4:41" ht="12.75" customHeight="1">
      <c r="D372" s="99"/>
      <c r="E372" s="100"/>
      <c r="F372" s="100"/>
      <c r="G372" s="100"/>
      <c r="H372" s="100"/>
      <c r="AA372" s="1"/>
      <c r="AN372" s="1"/>
      <c r="AO372" s="1"/>
    </row>
    <row r="373" spans="4:41" ht="12.75" customHeight="1">
      <c r="D373" s="99"/>
      <c r="E373" s="100"/>
      <c r="F373" s="100"/>
      <c r="G373" s="100"/>
      <c r="H373" s="100"/>
      <c r="AA373" s="1"/>
      <c r="AN373" s="1"/>
      <c r="AO373" s="1"/>
    </row>
    <row r="374" spans="4:41" ht="12.75" customHeight="1">
      <c r="D374" s="99"/>
      <c r="E374" s="100"/>
      <c r="F374" s="100"/>
      <c r="G374" s="100"/>
      <c r="H374" s="100"/>
      <c r="AA374" s="1"/>
      <c r="AN374" s="1"/>
      <c r="AO374" s="1"/>
    </row>
    <row r="375" spans="4:41" ht="12.75" customHeight="1">
      <c r="D375" s="99"/>
      <c r="E375" s="100"/>
      <c r="F375" s="100"/>
      <c r="G375" s="100"/>
      <c r="H375" s="100"/>
      <c r="AA375" s="1"/>
      <c r="AN375" s="1"/>
      <c r="AO375" s="1"/>
    </row>
    <row r="376" spans="4:41" ht="12.75" customHeight="1">
      <c r="D376" s="99"/>
      <c r="E376" s="100"/>
      <c r="F376" s="100"/>
      <c r="G376" s="100"/>
      <c r="H376" s="100"/>
      <c r="AA376" s="1"/>
      <c r="AN376" s="1"/>
      <c r="AO376" s="1"/>
    </row>
    <row r="377" spans="4:41" ht="12.75" customHeight="1">
      <c r="D377" s="99"/>
      <c r="E377" s="100"/>
      <c r="F377" s="100"/>
      <c r="G377" s="100"/>
      <c r="H377" s="100"/>
      <c r="AA377" s="1"/>
      <c r="AN377" s="1"/>
      <c r="AO377" s="1"/>
    </row>
    <row r="378" spans="4:41" ht="12.75" customHeight="1">
      <c r="D378" s="99"/>
      <c r="E378" s="100"/>
      <c r="F378" s="100"/>
      <c r="G378" s="100"/>
      <c r="H378" s="100"/>
      <c r="AA378" s="1"/>
      <c r="AN378" s="1"/>
      <c r="AO378" s="1"/>
    </row>
    <row r="379" spans="4:41" ht="12.75" customHeight="1">
      <c r="D379" s="99"/>
      <c r="E379" s="100"/>
      <c r="F379" s="100"/>
      <c r="G379" s="100"/>
      <c r="H379" s="100"/>
      <c r="AA379" s="1"/>
      <c r="AN379" s="1"/>
      <c r="AO379" s="1"/>
    </row>
    <row r="380" spans="4:41" ht="12.75" customHeight="1">
      <c r="D380" s="99"/>
      <c r="E380" s="100"/>
      <c r="F380" s="100"/>
      <c r="G380" s="100"/>
      <c r="H380" s="100"/>
      <c r="AA380" s="1"/>
      <c r="AN380" s="1"/>
      <c r="AO380" s="1"/>
    </row>
    <row r="381" spans="4:41" ht="12.75" customHeight="1">
      <c r="D381" s="99"/>
      <c r="E381" s="100"/>
      <c r="F381" s="100"/>
      <c r="G381" s="100"/>
      <c r="H381" s="100"/>
      <c r="AA381" s="1"/>
      <c r="AN381" s="1"/>
      <c r="AO381" s="1"/>
    </row>
    <row r="382" spans="4:41" ht="12.75" customHeight="1">
      <c r="D382" s="99"/>
      <c r="E382" s="100"/>
      <c r="F382" s="100"/>
      <c r="G382" s="100"/>
      <c r="H382" s="100"/>
      <c r="AA382" s="1"/>
      <c r="AN382" s="1"/>
      <c r="AO382" s="1"/>
    </row>
    <row r="383" spans="4:41" ht="12.75" customHeight="1">
      <c r="D383" s="99"/>
      <c r="E383" s="100"/>
      <c r="F383" s="100"/>
      <c r="G383" s="100"/>
      <c r="H383" s="100"/>
      <c r="AA383" s="1"/>
      <c r="AN383" s="1"/>
      <c r="AO383" s="1"/>
    </row>
    <row r="384" spans="4:41" ht="12.75" customHeight="1">
      <c r="D384" s="99"/>
      <c r="E384" s="100"/>
      <c r="F384" s="100"/>
      <c r="G384" s="100"/>
      <c r="H384" s="100"/>
      <c r="AA384" s="1"/>
      <c r="AN384" s="1"/>
      <c r="AO384" s="1"/>
    </row>
    <row r="385" spans="4:44" ht="12.75" customHeight="1">
      <c r="D385" s="99"/>
      <c r="E385" s="100"/>
      <c r="F385" s="100"/>
      <c r="G385" s="100"/>
      <c r="H385" s="100"/>
      <c r="AA385" s="1"/>
      <c r="AN385" s="1"/>
      <c r="AO385" s="1"/>
    </row>
    <row r="386" spans="4:44" ht="12.75" customHeight="1">
      <c r="D386" s="99"/>
      <c r="E386" s="100"/>
      <c r="F386" s="100"/>
      <c r="G386" s="100"/>
      <c r="H386" s="100"/>
      <c r="AA386" s="1"/>
      <c r="AN386" s="1"/>
      <c r="AO386" s="1"/>
    </row>
    <row r="387" spans="4:44" ht="12.75" customHeight="1">
      <c r="D387" s="99"/>
      <c r="E387" s="100"/>
      <c r="F387" s="100"/>
      <c r="G387" s="100"/>
      <c r="H387" s="100"/>
      <c r="AA387" s="1"/>
      <c r="AN387" s="1"/>
      <c r="AO387" s="1"/>
    </row>
    <row r="388" spans="4:44" ht="12.75" customHeight="1">
      <c r="D388" s="99"/>
      <c r="E388" s="100"/>
      <c r="F388" s="100"/>
      <c r="G388" s="100"/>
      <c r="H388" s="100"/>
      <c r="AA388" s="1"/>
      <c r="AN388" s="1"/>
      <c r="AO388" s="1"/>
    </row>
    <row r="389" spans="4:44" ht="12.75" customHeight="1">
      <c r="D389" s="99"/>
      <c r="E389" s="100"/>
      <c r="F389" s="100"/>
      <c r="G389" s="100"/>
      <c r="H389" s="100"/>
      <c r="AA389" s="1"/>
      <c r="AN389" s="1"/>
      <c r="AO389" s="1"/>
    </row>
    <row r="390" spans="4:44" ht="12.75" customHeight="1">
      <c r="D390" s="99"/>
      <c r="E390" s="100"/>
      <c r="F390" s="100"/>
      <c r="G390" s="100"/>
      <c r="H390" s="100"/>
      <c r="AA390" s="1"/>
      <c r="AN390" s="1"/>
      <c r="AO390" s="1"/>
    </row>
    <row r="391" spans="4:44" ht="12.75" customHeight="1">
      <c r="D391" s="99"/>
      <c r="E391" s="100"/>
      <c r="F391" s="100"/>
      <c r="G391" s="100"/>
      <c r="H391" s="100"/>
      <c r="AA391" s="1"/>
      <c r="AN391" s="1"/>
      <c r="AO391" s="1"/>
    </row>
    <row r="392" spans="4:44" ht="12.75" customHeight="1">
      <c r="D392" s="99"/>
      <c r="E392" s="100"/>
      <c r="F392" s="100"/>
      <c r="G392" s="100"/>
      <c r="H392" s="100"/>
      <c r="AA392" s="1"/>
      <c r="AN392" s="1"/>
      <c r="AO392" s="1"/>
    </row>
    <row r="393" spans="4:44" ht="12.75" customHeight="1">
      <c r="D393" s="99"/>
      <c r="E393" s="100"/>
      <c r="F393" s="100"/>
      <c r="G393" s="100"/>
      <c r="H393" s="100"/>
      <c r="AA393" s="1"/>
      <c r="AN393" s="1"/>
      <c r="AO393" s="1"/>
    </row>
    <row r="394" spans="4:44" ht="12.75" customHeight="1">
      <c r="D394" s="99"/>
      <c r="E394" s="100"/>
      <c r="F394" s="100"/>
      <c r="G394" s="100"/>
      <c r="H394" s="100"/>
      <c r="AA394" s="1"/>
      <c r="AN394" s="1"/>
      <c r="AO394" s="1"/>
    </row>
    <row r="395" spans="4:44" ht="12.75" customHeight="1">
      <c r="D395" s="99"/>
      <c r="E395" s="100"/>
      <c r="F395" s="100"/>
      <c r="G395" s="100"/>
      <c r="H395" s="100"/>
      <c r="W395" s="101"/>
      <c r="X395" s="102"/>
      <c r="Y395" s="101"/>
      <c r="AA395" s="1"/>
      <c r="AN395" s="1"/>
      <c r="AO395" s="1"/>
    </row>
    <row r="396" spans="4:44" ht="12.75" customHeight="1">
      <c r="D396" s="99"/>
      <c r="E396" s="100"/>
      <c r="F396" s="100"/>
      <c r="G396" s="100"/>
      <c r="H396" s="100"/>
      <c r="W396" s="103"/>
      <c r="X396" s="103"/>
      <c r="Y396" s="101"/>
      <c r="Z396" s="102"/>
      <c r="AA396" s="104"/>
      <c r="AB396" s="105"/>
      <c r="AC396" s="106"/>
      <c r="AD396" s="107"/>
      <c r="AE396" s="107"/>
      <c r="AF396" s="108"/>
      <c r="AG396" s="109"/>
      <c r="AH396" s="107"/>
      <c r="AI396" s="107"/>
      <c r="AJ396" s="110">
        <v>20000</v>
      </c>
      <c r="AK396" s="107"/>
      <c r="AL396" s="101">
        <v>24</v>
      </c>
      <c r="AM396" s="111"/>
      <c r="AN396" s="112"/>
      <c r="AO396" s="111"/>
      <c r="AP396" s="107"/>
      <c r="AQ396" s="107"/>
      <c r="AR396" s="107"/>
    </row>
    <row r="397" spans="4:44" ht="12.75" customHeight="1">
      <c r="D397" s="99"/>
      <c r="E397" s="100"/>
      <c r="F397" s="100"/>
      <c r="G397" s="100"/>
      <c r="H397" s="100"/>
      <c r="W397" s="103"/>
      <c r="X397" s="103"/>
      <c r="Y397" s="101"/>
      <c r="Z397" s="103"/>
      <c r="AA397" s="113"/>
      <c r="AB397" s="114"/>
      <c r="AC397" s="115"/>
      <c r="AD397" s="110"/>
      <c r="AE397" s="110"/>
      <c r="AF397" s="116"/>
      <c r="AG397" s="117"/>
      <c r="AH397" s="110"/>
      <c r="AI397" s="110"/>
      <c r="AJ397" s="110">
        <v>15000</v>
      </c>
      <c r="AK397" s="110"/>
      <c r="AL397" s="103"/>
      <c r="AM397" s="118"/>
      <c r="AN397" s="119"/>
      <c r="AO397" s="118"/>
      <c r="AP397" s="110"/>
      <c r="AQ397" s="110"/>
      <c r="AR397" s="110"/>
    </row>
    <row r="398" spans="4:44" ht="12.75" customHeight="1">
      <c r="D398" s="99"/>
      <c r="E398" s="100"/>
      <c r="F398" s="100"/>
      <c r="G398" s="100"/>
      <c r="H398" s="100"/>
      <c r="W398" s="103"/>
      <c r="X398" s="103"/>
      <c r="Y398" s="101"/>
      <c r="Z398" s="103"/>
      <c r="AA398" s="113"/>
      <c r="AB398" s="114"/>
      <c r="AC398" s="115"/>
      <c r="AD398" s="110"/>
      <c r="AE398" s="110"/>
      <c r="AF398" s="116"/>
      <c r="AG398" s="117"/>
      <c r="AH398" s="110"/>
      <c r="AI398" s="110"/>
      <c r="AJ398" s="110"/>
      <c r="AK398" s="110"/>
      <c r="AL398" s="103"/>
      <c r="AM398" s="118"/>
      <c r="AN398" s="119"/>
      <c r="AO398" s="118"/>
      <c r="AP398" s="110"/>
      <c r="AQ398" s="110"/>
      <c r="AR398" s="110"/>
    </row>
    <row r="399" spans="4:44" ht="12.75" customHeight="1">
      <c r="D399" s="99"/>
      <c r="E399" s="100"/>
      <c r="F399" s="100"/>
      <c r="G399" s="100"/>
      <c r="H399" s="100"/>
      <c r="W399" s="103"/>
      <c r="X399" s="103"/>
      <c r="Y399" s="101"/>
      <c r="Z399" s="103"/>
      <c r="AA399" s="113"/>
      <c r="AB399" s="114"/>
      <c r="AC399" s="115"/>
      <c r="AD399" s="110"/>
      <c r="AE399" s="110"/>
      <c r="AF399" s="116"/>
      <c r="AG399" s="117"/>
      <c r="AH399" s="110"/>
      <c r="AI399" s="110"/>
      <c r="AJ399" s="110"/>
      <c r="AK399" s="110"/>
      <c r="AL399" s="103"/>
      <c r="AM399" s="118"/>
      <c r="AN399" s="119"/>
      <c r="AO399" s="118"/>
      <c r="AP399" s="110"/>
      <c r="AQ399" s="110"/>
      <c r="AR399" s="110"/>
    </row>
    <row r="400" spans="4:44" ht="12.75" customHeight="1">
      <c r="D400" s="99"/>
      <c r="E400" s="100"/>
      <c r="F400" s="100"/>
      <c r="G400" s="100"/>
      <c r="H400" s="100"/>
      <c r="W400" s="103"/>
      <c r="X400" s="103"/>
      <c r="Y400" s="101"/>
      <c r="Z400" s="103"/>
      <c r="AA400" s="113"/>
      <c r="AB400" s="114"/>
      <c r="AC400" s="115"/>
      <c r="AD400" s="110"/>
      <c r="AE400" s="110"/>
      <c r="AF400" s="116"/>
      <c r="AG400" s="117"/>
      <c r="AH400" s="110"/>
      <c r="AI400" s="110"/>
      <c r="AJ400" s="110"/>
      <c r="AK400" s="110"/>
      <c r="AL400" s="103"/>
      <c r="AM400" s="118"/>
      <c r="AN400" s="119"/>
      <c r="AO400" s="118"/>
      <c r="AP400" s="110"/>
      <c r="AQ400" s="110"/>
      <c r="AR400" s="110"/>
    </row>
    <row r="401" spans="4:44" ht="12.75" customHeight="1">
      <c r="D401" s="99"/>
      <c r="E401" s="100"/>
      <c r="F401" s="100"/>
      <c r="G401" s="100"/>
      <c r="H401" s="100"/>
      <c r="W401" s="103"/>
      <c r="X401" s="103"/>
      <c r="Y401" s="101"/>
      <c r="Z401" s="103"/>
      <c r="AA401" s="113"/>
      <c r="AB401" s="114"/>
      <c r="AC401" s="115"/>
      <c r="AD401" s="110"/>
      <c r="AE401" s="110"/>
      <c r="AF401" s="116"/>
      <c r="AG401" s="117"/>
      <c r="AH401" s="110"/>
      <c r="AI401" s="110"/>
      <c r="AJ401" s="110"/>
      <c r="AK401" s="110"/>
      <c r="AL401" s="103"/>
      <c r="AM401" s="118"/>
      <c r="AN401" s="119"/>
      <c r="AO401" s="118"/>
      <c r="AP401" s="110"/>
      <c r="AQ401" s="110"/>
      <c r="AR401" s="110"/>
    </row>
    <row r="402" spans="4:44" ht="12.75" customHeight="1">
      <c r="D402" s="99"/>
      <c r="E402" s="100"/>
      <c r="F402" s="100"/>
      <c r="G402" s="100"/>
      <c r="H402" s="100"/>
      <c r="W402" s="103"/>
      <c r="X402" s="103"/>
      <c r="Y402" s="101"/>
      <c r="Z402" s="103"/>
      <c r="AA402" s="113"/>
      <c r="AB402" s="114"/>
      <c r="AC402" s="115"/>
      <c r="AD402" s="110"/>
      <c r="AE402" s="110"/>
      <c r="AF402" s="116"/>
      <c r="AG402" s="117"/>
      <c r="AH402" s="110"/>
      <c r="AI402" s="110"/>
      <c r="AJ402" s="110"/>
      <c r="AK402" s="110"/>
      <c r="AL402" s="103"/>
      <c r="AM402" s="118"/>
      <c r="AN402" s="119"/>
      <c r="AO402" s="118"/>
      <c r="AP402" s="110"/>
      <c r="AQ402" s="110"/>
      <c r="AR402" s="110"/>
    </row>
    <row r="403" spans="4:44" ht="12.75" customHeight="1">
      <c r="D403" s="99"/>
      <c r="E403" s="100"/>
      <c r="F403" s="100"/>
      <c r="G403" s="100"/>
      <c r="H403" s="100"/>
      <c r="W403" s="103"/>
      <c r="X403" s="103"/>
      <c r="Y403" s="101"/>
      <c r="Z403" s="103"/>
      <c r="AA403" s="113"/>
      <c r="AB403" s="114"/>
      <c r="AC403" s="115"/>
      <c r="AD403" s="110"/>
      <c r="AE403" s="110"/>
      <c r="AF403" s="116"/>
      <c r="AG403" s="117"/>
      <c r="AH403" s="110"/>
      <c r="AI403" s="110"/>
      <c r="AJ403" s="110"/>
      <c r="AK403" s="110"/>
      <c r="AL403" s="103"/>
      <c r="AM403" s="118"/>
      <c r="AN403" s="119"/>
      <c r="AO403" s="118"/>
      <c r="AP403" s="110"/>
      <c r="AQ403" s="110"/>
      <c r="AR403" s="110"/>
    </row>
    <row r="404" spans="4:44" ht="12.75" customHeight="1">
      <c r="D404" s="99"/>
      <c r="E404" s="100"/>
      <c r="F404" s="100"/>
      <c r="G404" s="100"/>
      <c r="H404" s="100"/>
      <c r="W404" s="103"/>
      <c r="X404" s="103"/>
      <c r="Y404" s="101"/>
      <c r="Z404" s="103"/>
      <c r="AA404" s="113"/>
      <c r="AB404" s="114"/>
      <c r="AC404" s="115"/>
      <c r="AD404" s="110"/>
      <c r="AE404" s="110"/>
      <c r="AF404" s="116"/>
      <c r="AG404" s="117"/>
      <c r="AH404" s="110"/>
      <c r="AI404" s="110"/>
      <c r="AJ404" s="110"/>
      <c r="AK404" s="110"/>
      <c r="AL404" s="103"/>
      <c r="AM404" s="118"/>
      <c r="AN404" s="119"/>
      <c r="AO404" s="118"/>
      <c r="AP404" s="110"/>
      <c r="AQ404" s="110"/>
      <c r="AR404" s="110"/>
    </row>
    <row r="405" spans="4:44" ht="12.75" customHeight="1">
      <c r="D405" s="99"/>
      <c r="E405" s="100"/>
      <c r="F405" s="100"/>
      <c r="G405" s="100"/>
      <c r="H405" s="100"/>
      <c r="W405" s="4"/>
      <c r="Z405" s="103"/>
      <c r="AA405" s="113"/>
      <c r="AB405" s="114"/>
      <c r="AC405" s="115"/>
      <c r="AD405" s="110"/>
      <c r="AE405" s="110"/>
      <c r="AF405" s="116"/>
      <c r="AG405" s="117"/>
      <c r="AH405" s="110"/>
      <c r="AI405" s="110"/>
      <c r="AJ405" s="110"/>
      <c r="AK405" s="110"/>
      <c r="AL405" s="103"/>
      <c r="AM405" s="118"/>
      <c r="AN405" s="119"/>
      <c r="AO405" s="118"/>
      <c r="AP405" s="110"/>
      <c r="AQ405" s="110"/>
      <c r="AR405" s="110"/>
    </row>
    <row r="406" spans="4:44" ht="12.75" customHeight="1">
      <c r="D406" s="99"/>
      <c r="E406" s="100"/>
      <c r="F406" s="100"/>
      <c r="G406" s="100"/>
      <c r="H406" s="100"/>
      <c r="W406" s="4"/>
      <c r="AA406" s="120"/>
      <c r="AJ406" s="96"/>
    </row>
    <row r="407" spans="4:44" ht="12.75" customHeight="1">
      <c r="D407" s="99"/>
      <c r="E407" s="100"/>
      <c r="F407" s="100"/>
      <c r="G407" s="100"/>
      <c r="H407" s="100"/>
      <c r="W407" s="4"/>
      <c r="AA407" s="120"/>
      <c r="AJ407" s="96"/>
    </row>
    <row r="408" spans="4:44" ht="12.75" customHeight="1">
      <c r="D408" s="99"/>
      <c r="E408" s="100"/>
      <c r="F408" s="100"/>
      <c r="G408" s="100"/>
      <c r="H408" s="100"/>
      <c r="W408" s="4"/>
      <c r="AA408" s="120"/>
      <c r="AJ408" s="96"/>
    </row>
    <row r="409" spans="4:44" ht="12.75" customHeight="1">
      <c r="D409" s="99"/>
      <c r="E409" s="100"/>
      <c r="F409" s="100"/>
      <c r="G409" s="100"/>
      <c r="H409" s="100"/>
      <c r="W409" s="4"/>
      <c r="AA409" s="120"/>
      <c r="AJ409" s="96"/>
    </row>
    <row r="410" spans="4:44" ht="12.75" customHeight="1">
      <c r="D410" s="99"/>
      <c r="E410" s="100"/>
      <c r="F410" s="100"/>
      <c r="G410" s="100"/>
      <c r="H410" s="100"/>
      <c r="W410" s="4"/>
      <c r="AA410" s="120"/>
      <c r="AJ410" s="96"/>
    </row>
    <row r="411" spans="4:44" ht="12.75" customHeight="1">
      <c r="D411" s="99"/>
      <c r="E411" s="100"/>
      <c r="F411" s="100"/>
      <c r="G411" s="100"/>
      <c r="H411" s="100"/>
      <c r="W411" s="4"/>
      <c r="AA411" s="120"/>
      <c r="AJ411" s="96"/>
    </row>
    <row r="412" spans="4:44" ht="12.75" customHeight="1">
      <c r="D412" s="99"/>
      <c r="E412" s="100"/>
      <c r="F412" s="100"/>
      <c r="G412" s="100"/>
      <c r="H412" s="100"/>
      <c r="W412" s="4"/>
      <c r="AA412" s="120"/>
      <c r="AJ412" s="96"/>
    </row>
    <row r="413" spans="4:44" ht="12.75" customHeight="1">
      <c r="D413" s="99"/>
      <c r="E413" s="100"/>
      <c r="F413" s="100"/>
      <c r="G413" s="100"/>
      <c r="H413" s="100"/>
      <c r="AA413" s="120"/>
      <c r="AJ413" s="96"/>
    </row>
    <row r="414" spans="4:44" ht="12.75" customHeight="1">
      <c r="D414" s="99"/>
      <c r="E414" s="100"/>
      <c r="F414" s="100"/>
      <c r="G414" s="100"/>
      <c r="H414" s="100"/>
      <c r="AA414" s="120"/>
    </row>
    <row r="415" spans="4:44" ht="12.75" customHeight="1">
      <c r="D415" s="99"/>
      <c r="E415" s="100"/>
      <c r="F415" s="100"/>
      <c r="G415" s="100"/>
      <c r="H415" s="100"/>
      <c r="AA415" s="120"/>
    </row>
    <row r="416" spans="4:44" ht="12.75" customHeight="1">
      <c r="D416" s="99"/>
      <c r="E416" s="100"/>
      <c r="F416" s="100"/>
      <c r="G416" s="100"/>
      <c r="H416" s="100"/>
      <c r="AA416" s="120"/>
    </row>
    <row r="417" spans="4:27" ht="12.75" customHeight="1">
      <c r="D417" s="99"/>
      <c r="E417" s="100"/>
      <c r="F417" s="100"/>
      <c r="G417" s="100"/>
      <c r="H417" s="100"/>
      <c r="AA417" s="120"/>
    </row>
    <row r="418" spans="4:27" ht="12.75" customHeight="1">
      <c r="D418" s="99"/>
      <c r="E418" s="100"/>
      <c r="F418" s="100"/>
      <c r="G418" s="100"/>
      <c r="H418" s="100"/>
      <c r="AA418" s="120"/>
    </row>
    <row r="419" spans="4:27" ht="12.75" customHeight="1">
      <c r="D419" s="99"/>
      <c r="E419" s="100"/>
      <c r="F419" s="100"/>
      <c r="G419" s="100"/>
      <c r="H419" s="100"/>
      <c r="AA419" s="120"/>
    </row>
    <row r="420" spans="4:27" ht="12.75" customHeight="1">
      <c r="D420" s="99"/>
      <c r="E420" s="100"/>
      <c r="F420" s="100"/>
      <c r="G420" s="100"/>
      <c r="H420" s="100"/>
      <c r="AA420" s="120"/>
    </row>
    <row r="421" spans="4:27" ht="12.75" customHeight="1">
      <c r="D421" s="99"/>
      <c r="E421" s="100"/>
      <c r="F421" s="100"/>
      <c r="G421" s="100"/>
      <c r="H421" s="100"/>
    </row>
    <row r="422" spans="4:27" ht="12.75" customHeight="1">
      <c r="D422" s="99"/>
      <c r="E422" s="100"/>
      <c r="F422" s="100"/>
      <c r="G422" s="100"/>
      <c r="H422" s="100"/>
    </row>
    <row r="423" spans="4:27" ht="12.75" customHeight="1">
      <c r="D423" s="99"/>
      <c r="E423" s="100"/>
      <c r="F423" s="100"/>
      <c r="G423" s="100"/>
      <c r="H423" s="100"/>
    </row>
    <row r="424" spans="4:27" ht="12.75" customHeight="1">
      <c r="D424" s="99"/>
      <c r="E424" s="100"/>
      <c r="F424" s="100"/>
      <c r="G424" s="100"/>
      <c r="H424" s="100"/>
    </row>
    <row r="425" spans="4:27" ht="12.75" customHeight="1">
      <c r="D425" s="99"/>
      <c r="E425" s="100"/>
      <c r="F425" s="100"/>
      <c r="G425" s="100"/>
      <c r="H425" s="100"/>
    </row>
    <row r="426" spans="4:27" ht="12.75" customHeight="1">
      <c r="D426" s="99"/>
      <c r="E426" s="100"/>
      <c r="F426" s="100"/>
      <c r="G426" s="100"/>
      <c r="H426" s="100"/>
    </row>
    <row r="427" spans="4:27" ht="12.75" customHeight="1">
      <c r="D427" s="99"/>
      <c r="E427" s="100"/>
      <c r="F427" s="100"/>
      <c r="G427" s="100"/>
      <c r="H427" s="100"/>
    </row>
    <row r="428" spans="4:27" ht="12.75" customHeight="1">
      <c r="D428" s="99"/>
      <c r="E428" s="100"/>
      <c r="F428" s="100"/>
      <c r="G428" s="100"/>
      <c r="H428" s="100"/>
    </row>
    <row r="429" spans="4:27" ht="12.75" customHeight="1">
      <c r="D429" s="99"/>
      <c r="E429" s="100"/>
      <c r="F429" s="100"/>
      <c r="G429" s="100"/>
      <c r="H429" s="100"/>
    </row>
    <row r="430" spans="4:27" ht="12.75" customHeight="1">
      <c r="D430" s="99"/>
      <c r="E430" s="100"/>
      <c r="F430" s="100"/>
      <c r="G430" s="100"/>
      <c r="H430" s="100"/>
    </row>
    <row r="431" spans="4:27" ht="12.75" customHeight="1">
      <c r="D431" s="99"/>
      <c r="E431" s="100"/>
      <c r="F431" s="100"/>
      <c r="G431" s="100"/>
      <c r="H431" s="100"/>
    </row>
    <row r="432" spans="4:27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1" ht="12.75" customHeight="1">
      <c r="D769" s="99"/>
      <c r="E769" s="100"/>
      <c r="F769" s="100"/>
      <c r="G769" s="100"/>
      <c r="H769" s="100"/>
    </row>
    <row r="770" spans="4:21" ht="12.75" customHeight="1">
      <c r="D770" s="99"/>
      <c r="E770" s="100"/>
      <c r="F770" s="100"/>
      <c r="G770" s="100"/>
      <c r="H770" s="100"/>
    </row>
    <row r="771" spans="4:21" ht="12.75" customHeight="1">
      <c r="D771" s="99"/>
      <c r="E771" s="100"/>
      <c r="F771" s="100"/>
      <c r="G771" s="100"/>
      <c r="H771" s="100"/>
    </row>
    <row r="772" spans="4:21" ht="12.75" customHeight="1">
      <c r="D772" s="99"/>
      <c r="E772" s="100"/>
      <c r="F772" s="100"/>
      <c r="G772" s="100"/>
      <c r="H772" s="100"/>
    </row>
    <row r="773" spans="4:21" ht="12.75" customHeight="1">
      <c r="D773" s="99"/>
      <c r="E773" s="100"/>
      <c r="F773" s="100"/>
      <c r="G773" s="100"/>
      <c r="H773" s="100"/>
    </row>
    <row r="774" spans="4:21" ht="12.75" customHeight="1">
      <c r="D774" s="99"/>
      <c r="E774" s="100"/>
      <c r="F774" s="100"/>
      <c r="G774" s="100"/>
      <c r="H774" s="100"/>
    </row>
    <row r="775" spans="4:21" ht="12.75" customHeight="1">
      <c r="D775" s="99"/>
      <c r="E775" s="100"/>
      <c r="F775" s="100"/>
      <c r="G775" s="100"/>
      <c r="H775" s="100"/>
    </row>
    <row r="776" spans="4:21" ht="12.75" customHeight="1">
      <c r="D776" s="99"/>
      <c r="E776" s="100"/>
      <c r="F776" s="100"/>
      <c r="G776" s="100"/>
      <c r="H776" s="100"/>
    </row>
    <row r="777" spans="4:21" ht="12.75" customHeight="1">
      <c r="D777" s="99"/>
      <c r="E777" s="100"/>
      <c r="F777" s="100"/>
      <c r="G777" s="100"/>
      <c r="H777" s="100"/>
    </row>
    <row r="778" spans="4:21" ht="12.75" customHeight="1">
      <c r="D778" s="99"/>
      <c r="E778" s="100"/>
      <c r="F778" s="100"/>
      <c r="G778" s="100"/>
      <c r="H778" s="100"/>
    </row>
    <row r="779" spans="4:21" ht="12.75" customHeight="1">
      <c r="D779" s="99"/>
      <c r="E779" s="100"/>
      <c r="F779" s="100"/>
      <c r="G779" s="100"/>
      <c r="H779" s="100"/>
    </row>
    <row r="780" spans="4:21" ht="12.75" customHeight="1">
      <c r="D780" s="99"/>
      <c r="E780" s="100"/>
      <c r="F780" s="100"/>
      <c r="G780" s="100"/>
      <c r="H780" s="100"/>
    </row>
    <row r="781" spans="4:21" ht="12.75" customHeight="1">
      <c r="D781" s="99"/>
      <c r="E781" s="100"/>
      <c r="F781" s="100"/>
      <c r="G781" s="100"/>
      <c r="H781" s="100"/>
      <c r="U781" s="9">
        <v>1</v>
      </c>
    </row>
    <row r="782" spans="4:21" ht="12.75" customHeight="1">
      <c r="D782" s="99"/>
      <c r="E782" s="100"/>
      <c r="F782" s="100"/>
      <c r="G782" s="100"/>
      <c r="H782" s="100"/>
    </row>
    <row r="783" spans="4:21" ht="12.75" customHeight="1">
      <c r="D783" s="99"/>
      <c r="E783" s="100"/>
      <c r="F783" s="100"/>
      <c r="G783" s="100"/>
      <c r="H783" s="100"/>
    </row>
    <row r="784" spans="4:21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F788" s="100"/>
      <c r="G788" s="100"/>
      <c r="H788" s="100"/>
    </row>
    <row r="789" spans="4:8" ht="12.75" customHeight="1">
      <c r="D789" s="99"/>
      <c r="F789" s="100"/>
      <c r="G789" s="100"/>
      <c r="H789" s="100"/>
    </row>
    <row r="790" spans="4:8" ht="12.75" customHeight="1"/>
    <row r="791" spans="4:8" ht="12.75" customHeight="1"/>
    <row r="792" spans="4:8" ht="12.75" customHeight="1"/>
    <row r="793" spans="4:8" ht="12.75" customHeight="1"/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algorithmName="SHA-512" hashValue="WLx0EGrtQmbn3O0A1MML9Fxe+GglzkGuzGOKHSRsYlWnWO9ee8i172205Svvd8o4VU6bZjQiO+gATsm/MQxRQw==" saltValue="j4n6bfVcRad1F4KnyeArGA==" spinCount="100000" sheet="1" selectLockedCells="1" selectUnlockedCells="1"/>
  <mergeCells count="119">
    <mergeCell ref="P2:Q2"/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7:I17"/>
    <mergeCell ref="K17:L17"/>
    <mergeCell ref="N17:O17"/>
    <mergeCell ref="P17:Q17"/>
    <mergeCell ref="F18:I18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B25:C25"/>
    <mergeCell ref="F25:I25"/>
    <mergeCell ref="B26:C26"/>
    <mergeCell ref="H26:I26"/>
    <mergeCell ref="K26:M26"/>
    <mergeCell ref="O26:Q26"/>
    <mergeCell ref="F21:I21"/>
    <mergeCell ref="N22:O22"/>
    <mergeCell ref="F23:I23"/>
    <mergeCell ref="L47:M47"/>
    <mergeCell ref="O47:Q47"/>
    <mergeCell ref="B58:C59"/>
    <mergeCell ref="D58:F59"/>
    <mergeCell ref="G58:I59"/>
    <mergeCell ref="B60:C61"/>
    <mergeCell ref="D60:F61"/>
    <mergeCell ref="G60:I61"/>
    <mergeCell ref="B27:C27"/>
    <mergeCell ref="F27:I27"/>
    <mergeCell ref="L27:M27"/>
    <mergeCell ref="O27:Q27"/>
    <mergeCell ref="F46:G46"/>
    <mergeCell ref="K46:M46"/>
    <mergeCell ref="O46:Q46"/>
    <mergeCell ref="D67:F67"/>
    <mergeCell ref="K220:M220"/>
    <mergeCell ref="P220:Q220"/>
    <mergeCell ref="L221:M221"/>
    <mergeCell ref="B62:C63"/>
    <mergeCell ref="D62:F63"/>
    <mergeCell ref="G62:I63"/>
    <mergeCell ref="B64:C65"/>
    <mergeCell ref="D64:F65"/>
    <mergeCell ref="G64:I65"/>
    <mergeCell ref="S8:T8"/>
    <mergeCell ref="V8:Y8"/>
    <mergeCell ref="S9:T9"/>
    <mergeCell ref="V9:Y9"/>
    <mergeCell ref="S10:T10"/>
    <mergeCell ref="V10:Y10"/>
    <mergeCell ref="X2:Y2"/>
    <mergeCell ref="S4:Y4"/>
    <mergeCell ref="S6:T6"/>
    <mergeCell ref="V6:Y6"/>
    <mergeCell ref="S7:T7"/>
    <mergeCell ref="V7:Y7"/>
    <mergeCell ref="S13:T13"/>
    <mergeCell ref="V13:W13"/>
    <mergeCell ref="X13:Y13"/>
    <mergeCell ref="S15:T16"/>
    <mergeCell ref="U15:U16"/>
    <mergeCell ref="V15:W16"/>
    <mergeCell ref="X15:Y16"/>
    <mergeCell ref="S11:T11"/>
    <mergeCell ref="V11:W11"/>
    <mergeCell ref="X11:Y11"/>
    <mergeCell ref="S12:T12"/>
    <mergeCell ref="V12:W12"/>
    <mergeCell ref="X12:Y12"/>
    <mergeCell ref="S26:U26"/>
    <mergeCell ref="W26:Y26"/>
    <mergeCell ref="T27:U27"/>
    <mergeCell ref="W27:Y27"/>
    <mergeCell ref="S19:T19"/>
    <mergeCell ref="V19:W19"/>
    <mergeCell ref="X19:Y19"/>
    <mergeCell ref="S17:T17"/>
    <mergeCell ref="V17:W17"/>
    <mergeCell ref="X17:Y17"/>
    <mergeCell ref="S18:T18"/>
    <mergeCell ref="V18:W18"/>
    <mergeCell ref="X18:Y18"/>
    <mergeCell ref="V22:W22"/>
  </mergeCells>
  <pageMargins left="0.23622047244094491" right="0.23622047244094491" top="0.39370078740157483" bottom="0.74803149606299213" header="0.31496062992125984" footer="0.31496062992125984"/>
  <pageSetup paperSize="5" scale="7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1446A-8491-42BB-8BA7-8B52902FD3A7}">
  <sheetPr>
    <tabColor theme="0"/>
  </sheetPr>
  <dimension ref="A1:AY869"/>
  <sheetViews>
    <sheetView showGridLines="0" topLeftCell="A13" zoomScale="90" zoomScaleNormal="90" zoomScalePageLayoutView="70" workbookViewId="0">
      <selection activeCell="G28" sqref="G28"/>
    </sheetView>
  </sheetViews>
  <sheetFormatPr defaultColWidth="8.85546875" defaultRowHeight="15"/>
  <cols>
    <col min="1" max="1" width="3" style="1" customWidth="1"/>
    <col min="2" max="2" width="13.85546875" style="1" customWidth="1"/>
    <col min="3" max="3" width="22.5703125" style="1" customWidth="1"/>
    <col min="4" max="4" width="12" style="1" bestFit="1" customWidth="1"/>
    <col min="5" max="5" width="19.28515625" style="1" customWidth="1"/>
    <col min="6" max="6" width="15.140625" style="1" customWidth="1"/>
    <col min="7" max="7" width="8.140625" style="1" customWidth="1"/>
    <col min="8" max="8" width="4.42578125" style="1" customWidth="1"/>
    <col min="9" max="9" width="17.7109375" style="1" customWidth="1"/>
    <col min="10" max="10" width="3.42578125" style="1" customWidth="1"/>
    <col min="11" max="11" width="13.85546875" style="1" customWidth="1"/>
    <col min="12" max="12" width="22.5703125" style="4" customWidth="1"/>
    <col min="13" max="13" width="15.7109375" style="1" customWidth="1"/>
    <col min="14" max="14" width="21.7109375" style="1" customWidth="1"/>
    <col min="15" max="15" width="11.85546875" style="1" bestFit="1" customWidth="1"/>
    <col min="16" max="16" width="16.85546875" style="1" customWidth="1"/>
    <col min="17" max="17" width="9.7109375" style="1" customWidth="1"/>
    <col min="18" max="18" width="9.7109375" customWidth="1"/>
    <col min="19" max="19" width="9.7109375" style="1" hidden="1" customWidth="1"/>
    <col min="20" max="20" width="24.5703125" style="9" hidden="1" customWidth="1"/>
    <col min="21" max="22" width="11.42578125" style="1" hidden="1" customWidth="1"/>
    <col min="23" max="24" width="8.85546875" style="1" hidden="1" customWidth="1"/>
    <col min="25" max="25" width="11.28515625" style="1" hidden="1" customWidth="1"/>
    <col min="26" max="26" width="8.85546875" style="1" hidden="1" customWidth="1"/>
    <col min="27" max="27" width="13.140625" style="1" customWidth="1"/>
    <col min="28" max="28" width="14.5703125" style="9" customWidth="1"/>
    <col min="29" max="29" width="8.85546875" style="1"/>
    <col min="30" max="30" width="9.140625" style="1" bestFit="1" customWidth="1"/>
    <col min="31" max="31" width="17.140625" style="1" customWidth="1"/>
    <col min="32" max="32" width="17.85546875" style="1" customWidth="1"/>
    <col min="33" max="33" width="9.7109375" style="1" customWidth="1"/>
    <col min="34" max="34" width="10.7109375" style="10" customWidth="1"/>
    <col min="35" max="35" width="13.42578125" style="1" customWidth="1"/>
    <col min="36" max="36" width="12.7109375" style="1" customWidth="1"/>
    <col min="37" max="37" width="13.140625" style="1" customWidth="1"/>
    <col min="38" max="38" width="13.28515625" style="1" hidden="1" customWidth="1"/>
    <col min="39" max="39" width="13.28515625" style="1" customWidth="1"/>
    <col min="40" max="40" width="11.28515625" style="1" customWidth="1"/>
    <col min="41" max="41" width="14.85546875" style="1" customWidth="1"/>
    <col min="42" max="42" width="5.85546875" style="1" customWidth="1"/>
    <col min="43" max="43" width="11.7109375" style="1" customWidth="1"/>
    <col min="44" max="44" width="12.7109375" style="1" customWidth="1"/>
    <col min="45" max="45" width="11.7109375" style="1" customWidth="1"/>
    <col min="46" max="46" width="12.7109375" style="1" customWidth="1"/>
    <col min="47" max="47" width="12.7109375" style="11" customWidth="1"/>
    <col min="48" max="48" width="14.5703125" style="12" customWidth="1"/>
    <col min="49" max="53" width="12.7109375" style="1" customWidth="1"/>
    <col min="54" max="16384" width="8.85546875" style="1"/>
  </cols>
  <sheetData>
    <row r="1" spans="1:19">
      <c r="B1" s="2"/>
      <c r="C1" s="3"/>
      <c r="D1" s="4"/>
      <c r="E1" s="5"/>
      <c r="F1" s="5"/>
      <c r="G1" s="6"/>
      <c r="H1" s="6"/>
      <c r="J1" s="7">
        <v>0.01</v>
      </c>
      <c r="K1" s="5"/>
      <c r="L1" s="8"/>
      <c r="M1" s="8"/>
      <c r="N1" s="8"/>
    </row>
    <row r="2" spans="1:19">
      <c r="B2" s="13" t="s">
        <v>157</v>
      </c>
      <c r="C2" s="14">
        <f ca="1">FORM!E14</f>
        <v>45849</v>
      </c>
      <c r="D2" s="15"/>
      <c r="F2"/>
      <c r="G2"/>
      <c r="H2"/>
      <c r="I2"/>
      <c r="J2" s="17"/>
      <c r="M2" s="18"/>
      <c r="O2" s="76" t="s">
        <v>158</v>
      </c>
      <c r="P2" s="558" t="s">
        <v>159</v>
      </c>
      <c r="Q2" s="558"/>
      <c r="S2" s="21"/>
    </row>
    <row r="3" spans="1:19">
      <c r="C3" s="5"/>
      <c r="D3" s="5"/>
      <c r="E3" s="17"/>
      <c r="F3" s="17"/>
      <c r="G3" s="17"/>
      <c r="H3" s="17"/>
      <c r="I3" s="17"/>
      <c r="J3" s="17"/>
      <c r="K3" s="17"/>
      <c r="L3" s="2"/>
      <c r="M3" s="22"/>
    </row>
    <row r="4" spans="1:19" ht="18.75" customHeight="1">
      <c r="A4" s="18"/>
      <c r="B4" s="489" t="s">
        <v>160</v>
      </c>
      <c r="C4" s="489"/>
      <c r="D4" s="489"/>
      <c r="E4" s="489"/>
      <c r="F4" s="489"/>
      <c r="G4" s="489"/>
      <c r="H4" s="489"/>
      <c r="I4" s="489"/>
      <c r="J4" s="17"/>
      <c r="K4" s="489" t="s">
        <v>161</v>
      </c>
      <c r="L4" s="489"/>
      <c r="M4" s="489"/>
      <c r="N4" s="489"/>
      <c r="O4" s="489"/>
      <c r="P4" s="489"/>
      <c r="Q4" s="489"/>
      <c r="S4" s="294"/>
    </row>
    <row r="5" spans="1:19" ht="12" customHeight="1">
      <c r="A5" s="18"/>
      <c r="B5" s="18"/>
      <c r="C5" s="19"/>
      <c r="D5" s="19"/>
      <c r="E5" s="18"/>
      <c r="F5" s="18"/>
      <c r="G5" s="18"/>
      <c r="H5" s="18"/>
      <c r="I5" s="18"/>
      <c r="J5" s="17"/>
      <c r="K5" s="17"/>
      <c r="L5" s="17"/>
      <c r="M5" s="23"/>
      <c r="N5" s="18"/>
      <c r="O5" s="18"/>
      <c r="P5" s="18"/>
      <c r="Q5" s="18"/>
      <c r="S5" s="18"/>
    </row>
    <row r="6" spans="1:19">
      <c r="A6" s="18"/>
      <c r="B6" s="24" t="s">
        <v>162</v>
      </c>
      <c r="C6" s="25"/>
      <c r="D6" s="26" t="s">
        <v>73</v>
      </c>
      <c r="E6" s="501" t="str">
        <f>FORM!E16</f>
        <v>BUYER The Aguirre Townhouse Las Piñas</v>
      </c>
      <c r="F6" s="501"/>
      <c r="G6" s="501"/>
      <c r="H6" s="501"/>
      <c r="I6" s="501"/>
      <c r="J6" s="17"/>
      <c r="K6" s="535" t="str">
        <f>B6</f>
        <v>CLIENT'S NAME</v>
      </c>
      <c r="L6" s="535"/>
      <c r="M6" s="26" t="s">
        <v>73</v>
      </c>
      <c r="N6" s="536" t="str">
        <f t="shared" ref="N6:N13" si="0">E6</f>
        <v>BUYER The Aguirre Townhouse Las Piñas</v>
      </c>
      <c r="O6" s="536"/>
      <c r="P6" s="536"/>
      <c r="Q6" s="536"/>
      <c r="S6" s="26"/>
    </row>
    <row r="7" spans="1:19" ht="15.75" thickBot="1">
      <c r="A7" s="18"/>
      <c r="B7" s="27" t="s">
        <v>163</v>
      </c>
      <c r="C7" s="28"/>
      <c r="D7" s="26" t="s">
        <v>73</v>
      </c>
      <c r="E7" s="537" t="str">
        <f>'Pricelist Standard'!H3</f>
        <v>The Aguirre Townhouse - Las Piñas</v>
      </c>
      <c r="F7" s="474"/>
      <c r="G7" s="474"/>
      <c r="H7" s="474"/>
      <c r="I7" s="538"/>
      <c r="J7" s="17"/>
      <c r="K7" s="535" t="str">
        <f t="shared" ref="K7:K13" si="1">B7</f>
        <v>PROJECT NAME</v>
      </c>
      <c r="L7" s="535"/>
      <c r="M7" s="29" t="s">
        <v>73</v>
      </c>
      <c r="N7" s="536" t="str">
        <f t="shared" si="0"/>
        <v>The Aguirre Townhouse - Las Piñas</v>
      </c>
      <c r="O7" s="536"/>
      <c r="P7" s="536"/>
      <c r="Q7" s="536"/>
      <c r="S7" s="26"/>
    </row>
    <row r="8" spans="1:19">
      <c r="A8" s="30"/>
      <c r="B8" s="24" t="s">
        <v>258</v>
      </c>
      <c r="C8" s="25"/>
      <c r="D8" s="26" t="s">
        <v>73</v>
      </c>
      <c r="E8" s="553" t="str">
        <f>FORM!E4</f>
        <v>Unit 9</v>
      </c>
      <c r="F8" s="540"/>
      <c r="G8" s="540"/>
      <c r="H8" s="540"/>
      <c r="I8" s="541"/>
      <c r="J8" s="17"/>
      <c r="K8" s="535" t="str">
        <f t="shared" si="1"/>
        <v>HOUSE NUMBER</v>
      </c>
      <c r="L8" s="535"/>
      <c r="M8" s="26" t="s">
        <v>73</v>
      </c>
      <c r="N8" s="536" t="str">
        <f>E8</f>
        <v>Unit 9</v>
      </c>
      <c r="O8" s="536"/>
      <c r="P8" s="536"/>
      <c r="Q8" s="536"/>
      <c r="S8" s="26"/>
    </row>
    <row r="9" spans="1:19" ht="15" hidden="1" customHeight="1">
      <c r="A9" s="18"/>
      <c r="B9" s="27" t="s">
        <v>167</v>
      </c>
      <c r="C9" s="28"/>
      <c r="D9" s="26" t="s">
        <v>73</v>
      </c>
      <c r="E9" s="545" t="s">
        <v>168</v>
      </c>
      <c r="F9" s="546"/>
      <c r="G9" s="546"/>
      <c r="H9" s="546"/>
      <c r="I9" s="547"/>
      <c r="J9" s="17"/>
      <c r="K9" s="535" t="str">
        <f t="shared" si="1"/>
        <v>TOWER</v>
      </c>
      <c r="L9" s="535"/>
      <c r="M9" s="26" t="s">
        <v>73</v>
      </c>
      <c r="N9" s="536" t="str">
        <f t="shared" si="0"/>
        <v>N/A</v>
      </c>
      <c r="O9" s="536"/>
      <c r="P9" s="536"/>
      <c r="Q9" s="536"/>
      <c r="S9" s="26"/>
    </row>
    <row r="10" spans="1:19" ht="15.75" thickBot="1">
      <c r="A10" s="18"/>
      <c r="B10" s="27" t="s">
        <v>75</v>
      </c>
      <c r="C10" s="28"/>
      <c r="D10" s="26" t="s">
        <v>73</v>
      </c>
      <c r="E10" s="542" t="str">
        <f>'Pricelist Standard'!H9</f>
        <v>2 Storey</v>
      </c>
      <c r="F10" s="543"/>
      <c r="G10" s="543"/>
      <c r="H10" s="543"/>
      <c r="I10" s="556"/>
      <c r="J10" s="17"/>
      <c r="K10" s="535" t="str">
        <f t="shared" si="1"/>
        <v>HOUSE TYPE</v>
      </c>
      <c r="L10" s="535"/>
      <c r="M10" s="29" t="s">
        <v>73</v>
      </c>
      <c r="N10" s="536" t="str">
        <f t="shared" si="0"/>
        <v>2 Storey</v>
      </c>
      <c r="O10" s="536"/>
      <c r="P10" s="536"/>
      <c r="Q10" s="536"/>
      <c r="S10" s="26"/>
    </row>
    <row r="11" spans="1:19">
      <c r="A11" s="18"/>
      <c r="B11" s="27" t="str">
        <f>FORM!B32</f>
        <v>FLOOR AREA</v>
      </c>
      <c r="C11" s="28"/>
      <c r="D11" s="26" t="s">
        <v>73</v>
      </c>
      <c r="E11" s="519">
        <f>FORM!E32</f>
        <v>142.4</v>
      </c>
      <c r="F11" s="520"/>
      <c r="G11" s="31" t="s">
        <v>170</v>
      </c>
      <c r="H11" s="533"/>
      <c r="I11" s="534"/>
      <c r="J11" s="17"/>
      <c r="K11" s="535" t="str">
        <f t="shared" si="1"/>
        <v>FLOOR AREA</v>
      </c>
      <c r="L11" s="535"/>
      <c r="M11" s="26" t="s">
        <v>73</v>
      </c>
      <c r="N11" s="519">
        <f t="shared" si="0"/>
        <v>142.4</v>
      </c>
      <c r="O11" s="520"/>
      <c r="P11" s="521" t="s">
        <v>170</v>
      </c>
      <c r="Q11" s="522"/>
      <c r="S11" s="18"/>
    </row>
    <row r="12" spans="1:19">
      <c r="A12" s="30"/>
      <c r="B12" s="27" t="str">
        <f>FORM!B33</f>
        <v>LOT AREA</v>
      </c>
      <c r="C12" s="25"/>
      <c r="D12" s="26" t="s">
        <v>73</v>
      </c>
      <c r="E12" s="519">
        <f>FORM!E33</f>
        <v>80</v>
      </c>
      <c r="F12" s="520"/>
      <c r="G12" s="31" t="s">
        <v>170</v>
      </c>
      <c r="H12" s="521"/>
      <c r="I12" s="522"/>
      <c r="J12" s="17"/>
      <c r="K12" s="535" t="str">
        <f t="shared" si="1"/>
        <v>LOT AREA</v>
      </c>
      <c r="L12" s="535"/>
      <c r="M12" s="26" t="s">
        <v>73</v>
      </c>
      <c r="N12" s="524">
        <f t="shared" si="0"/>
        <v>80</v>
      </c>
      <c r="O12" s="525"/>
      <c r="P12" s="521" t="s">
        <v>170</v>
      </c>
      <c r="Q12" s="522"/>
      <c r="S12" s="18"/>
    </row>
    <row r="13" spans="1:19">
      <c r="A13" s="32"/>
      <c r="B13" s="27" t="str">
        <f>FORM!B34</f>
        <v>ACTUAL LOT AREA</v>
      </c>
      <c r="C13" s="25"/>
      <c r="D13" s="26" t="s">
        <v>73</v>
      </c>
      <c r="E13" s="519">
        <f>FORM!E34</f>
        <v>80</v>
      </c>
      <c r="F13" s="520"/>
      <c r="G13" s="31" t="s">
        <v>170</v>
      </c>
      <c r="H13" s="521"/>
      <c r="I13" s="522"/>
      <c r="J13" s="17"/>
      <c r="K13" s="535" t="str">
        <f t="shared" si="1"/>
        <v>ACTUAL LOT AREA</v>
      </c>
      <c r="L13" s="535"/>
      <c r="M13" s="26" t="s">
        <v>73</v>
      </c>
      <c r="N13" s="524">
        <f t="shared" si="0"/>
        <v>80</v>
      </c>
      <c r="O13" s="525"/>
      <c r="P13" s="521" t="s">
        <v>170</v>
      </c>
      <c r="Q13" s="522"/>
      <c r="S13" s="18"/>
    </row>
    <row r="14" spans="1:19">
      <c r="A14" s="18"/>
      <c r="B14" s="20"/>
      <c r="C14" s="35"/>
      <c r="D14" s="26"/>
      <c r="E14" s="17"/>
      <c r="F14" s="36"/>
      <c r="G14" s="36"/>
      <c r="H14" s="37"/>
      <c r="I14" s="38"/>
      <c r="J14" s="17"/>
      <c r="K14" s="18"/>
      <c r="L14" s="18"/>
      <c r="M14" s="39"/>
      <c r="N14" s="18"/>
      <c r="O14" s="18"/>
      <c r="P14" s="18"/>
      <c r="Q14" s="18"/>
      <c r="S14" s="18"/>
    </row>
    <row r="15" spans="1:19" ht="15" customHeight="1">
      <c r="A15" s="18"/>
      <c r="B15" s="24" t="s">
        <v>174</v>
      </c>
      <c r="C15" s="24"/>
      <c r="D15" s="40" t="s">
        <v>73</v>
      </c>
      <c r="E15" s="41"/>
      <c r="F15" s="526">
        <f>'Standard Computation'!F15:I15</f>
        <v>8900000</v>
      </c>
      <c r="G15" s="526"/>
      <c r="H15" s="526"/>
      <c r="I15" s="527"/>
      <c r="J15" s="17"/>
      <c r="K15" s="489" t="s">
        <v>175</v>
      </c>
      <c r="L15" s="489"/>
      <c r="M15" s="528" t="s">
        <v>176</v>
      </c>
      <c r="N15" s="489" t="s">
        <v>177</v>
      </c>
      <c r="O15" s="489"/>
      <c r="P15" s="529" t="s">
        <v>178</v>
      </c>
      <c r="Q15" s="530"/>
      <c r="S15" s="294"/>
    </row>
    <row r="16" spans="1:19">
      <c r="A16" s="18"/>
      <c r="B16" s="28" t="s">
        <v>179</v>
      </c>
      <c r="C16" s="28"/>
      <c r="D16" s="42" t="s">
        <v>73</v>
      </c>
      <c r="E16" s="43"/>
      <c r="F16" s="551"/>
      <c r="G16" s="551"/>
      <c r="H16" s="551"/>
      <c r="I16" s="552"/>
      <c r="J16" s="19"/>
      <c r="K16" s="489"/>
      <c r="L16" s="489"/>
      <c r="M16" s="528"/>
      <c r="N16" s="489"/>
      <c r="O16" s="489"/>
      <c r="P16" s="531"/>
      <c r="Q16" s="532"/>
      <c r="S16" s="294"/>
    </row>
    <row r="17" spans="1:48">
      <c r="A17" s="18"/>
      <c r="B17" s="28" t="s">
        <v>107</v>
      </c>
      <c r="C17" s="28"/>
      <c r="D17" s="17" t="s">
        <v>73</v>
      </c>
      <c r="E17" s="41"/>
      <c r="F17" s="526">
        <f>F15-F16</f>
        <v>8900000</v>
      </c>
      <c r="G17" s="526"/>
      <c r="H17" s="526"/>
      <c r="I17" s="527"/>
      <c r="J17" s="19"/>
      <c r="K17" s="501" t="s">
        <v>18</v>
      </c>
      <c r="L17" s="501"/>
      <c r="M17" s="46">
        <f ca="1">C2</f>
        <v>45849</v>
      </c>
      <c r="N17" s="490">
        <f>F25</f>
        <v>50000</v>
      </c>
      <c r="O17" s="490"/>
      <c r="P17" s="504"/>
      <c r="Q17" s="505"/>
      <c r="S17" s="26"/>
      <c r="U17" s="133">
        <f ca="1">M17</f>
        <v>45849</v>
      </c>
      <c r="V17" s="133">
        <f ca="1">EDATE(U17,E27)</f>
        <v>46457</v>
      </c>
    </row>
    <row r="18" spans="1:48" ht="13.9" customHeight="1">
      <c r="A18" s="18"/>
      <c r="B18" s="28" t="s">
        <v>180</v>
      </c>
      <c r="C18" s="45"/>
      <c r="D18" s="17"/>
      <c r="E18" s="145"/>
      <c r="F18" s="150">
        <f>F17/E11</f>
        <v>62500</v>
      </c>
      <c r="G18" s="146"/>
      <c r="H18" s="146"/>
      <c r="I18" s="147"/>
      <c r="J18" s="19"/>
      <c r="K18" s="504" t="str">
        <f>IF($E$27&gt;=S18, T18,"")</f>
        <v>1st Equity Payment</v>
      </c>
      <c r="L18" s="505"/>
      <c r="M18" s="46">
        <f ca="1">IF($E$27&gt;=S18, U18,"")</f>
        <v>45889</v>
      </c>
      <c r="N18" s="502">
        <f>IF($E$27&gt;=S18, $F$27,"")</f>
        <v>21307.5</v>
      </c>
      <c r="O18" s="503"/>
      <c r="P18" s="504"/>
      <c r="Q18" s="505"/>
      <c r="S18" s="128">
        <v>1</v>
      </c>
      <c r="T18" s="140" t="s">
        <v>181</v>
      </c>
      <c r="U18" s="46">
        <f ca="1">IF(DAY(U17)=31,W20,Y20)</f>
        <v>45889</v>
      </c>
      <c r="V18" s="134"/>
      <c r="W18" s="511" t="s">
        <v>182</v>
      </c>
      <c r="X18" s="511"/>
      <c r="Y18" s="134"/>
    </row>
    <row r="19" spans="1:48" ht="18.75" customHeight="1">
      <c r="A19" s="18"/>
      <c r="B19" s="35"/>
      <c r="C19" s="35"/>
      <c r="D19" s="26"/>
      <c r="E19" s="19"/>
      <c r="F19" s="47"/>
      <c r="G19" s="48"/>
      <c r="H19" s="49"/>
      <c r="I19" s="49"/>
      <c r="J19" s="19"/>
      <c r="K19" s="504" t="str">
        <f t="shared" ref="K19:K41" si="2">IF($E$27&gt;=S19, T19,"")</f>
        <v>2nd Equity Payment</v>
      </c>
      <c r="L19" s="505"/>
      <c r="M19" s="46">
        <f t="shared" ref="M19:M41" ca="1" si="3">IF($E$27&gt;=S19, U19,"")</f>
        <v>45920</v>
      </c>
      <c r="N19" s="502">
        <f t="shared" ref="N19:N41" si="4">IF($E$27&gt;=S19, $F$27,"")</f>
        <v>21307.5</v>
      </c>
      <c r="O19" s="503"/>
      <c r="P19" s="504"/>
      <c r="Q19" s="505"/>
      <c r="S19" s="128">
        <f>S18+1</f>
        <v>2</v>
      </c>
      <c r="T19" s="140" t="s">
        <v>183</v>
      </c>
      <c r="U19" s="46">
        <f t="shared" ref="U19:U41" ca="1" si="5">IF(AND(DAY(U18)&gt;=6,DAY(U18)&lt;=20),DATE(YEAR(U18),MONTH(U18)+1,DAY(20)),IF(AND(DAY(U18)&gt;=21,DAY(U18)&lt;=30),DATE(YEAR(U18),MONTH(U18)+1,IF(DAY(EOMONTH(U18,1))&lt;30,DAY(EOMONTH(U18,1)),DAY(30))),DATE(YEAR(U18),MONTH(U18)+1,DAY(5))))</f>
        <v>45920</v>
      </c>
      <c r="V19" s="135" t="s">
        <v>184</v>
      </c>
      <c r="W19" s="509" t="b">
        <f ca="1">IF(DAY(U17)=31,DATE(YEAR(V17),MONTH(V17)+2,DAY(5)))</f>
        <v>0</v>
      </c>
      <c r="X19" s="510"/>
      <c r="Y19" s="136">
        <f ca="1">IF(AND(DAY(V17)&gt;=6,DAY(V17)&lt;=20),DATE(YEAR(V17),MONTH(V17)+1,DAY(20)),IF(AND(DAY(V17)&gt;=21,DAY(V17)&lt;=31),DATE(YEAR(V17),MONTH(V17)+1,IF(DAY(EOMONTH(V17,1))&lt;30,DAY(EOMONTH(V17,1)),DAY(30))),DATE(YEAR(V17),MONTH(V17)+1,DAY(5))))</f>
        <v>46497</v>
      </c>
    </row>
    <row r="20" spans="1:48" ht="18.75" customHeight="1">
      <c r="A20" s="30"/>
      <c r="B20" s="44" t="s">
        <v>188</v>
      </c>
      <c r="C20" s="45"/>
      <c r="D20" s="26" t="s">
        <v>73</v>
      </c>
      <c r="E20" s="50">
        <f>'Pricelist Standard'!AD7</f>
        <v>7.0000000000000007E-2</v>
      </c>
      <c r="F20" s="548">
        <f>E20*F15</f>
        <v>623000.00000000012</v>
      </c>
      <c r="G20" s="549"/>
      <c r="H20" s="549"/>
      <c r="I20" s="550"/>
      <c r="J20" s="19"/>
      <c r="K20" s="504" t="str">
        <f t="shared" si="2"/>
        <v>3rd Equity Payment</v>
      </c>
      <c r="L20" s="505"/>
      <c r="M20" s="46">
        <f t="shared" ca="1" si="3"/>
        <v>45950</v>
      </c>
      <c r="N20" s="502">
        <f t="shared" si="4"/>
        <v>21307.5</v>
      </c>
      <c r="O20" s="503"/>
      <c r="P20" s="504"/>
      <c r="Q20" s="505"/>
      <c r="S20" s="128">
        <f t="shared" ref="S20:S41" si="6">S19+1</f>
        <v>3</v>
      </c>
      <c r="T20" s="140" t="s">
        <v>186</v>
      </c>
      <c r="U20" s="46">
        <f t="shared" ca="1" si="5"/>
        <v>45950</v>
      </c>
      <c r="V20" s="135" t="s">
        <v>187</v>
      </c>
      <c r="W20" s="509" t="b">
        <f ca="1">IF(DAY(U17)=31,DATE(YEAR(U17),MONTH(U17)+2,DAY(5)))</f>
        <v>0</v>
      </c>
      <c r="X20" s="510"/>
      <c r="Y20" s="136">
        <f ca="1">IF(AND(DAY(U17)&gt;=6,DAY(U17)&lt;=20),DATE(YEAR(U17),MONTH(U17)+1,DAY(20)),IF(AND(DAY(U17)&gt;=21,DAY(U17)&lt;=30),DATE(YEAR(U17),MONTH(U17)+1,IF(DAY(EOMONTH(U17,1))&lt;31,DAY(EOMONTH(U17,1)),DAY(30))),DATE(YEAR(U17),MONTH(U17)+1,DAY(5))))</f>
        <v>45889</v>
      </c>
      <c r="AV20" s="1"/>
    </row>
    <row r="21" spans="1:48" ht="18.75" customHeight="1">
      <c r="A21" s="32"/>
      <c r="B21" s="35"/>
      <c r="C21" s="20"/>
      <c r="D21" s="26"/>
      <c r="E21" s="17"/>
      <c r="F21" s="47"/>
      <c r="G21" s="47"/>
      <c r="H21" s="47"/>
      <c r="I21" s="47"/>
      <c r="J21" s="19"/>
      <c r="K21" s="504" t="str">
        <f t="shared" si="2"/>
        <v>4th Equity Payment</v>
      </c>
      <c r="L21" s="505"/>
      <c r="M21" s="46">
        <f t="shared" ca="1" si="3"/>
        <v>45981</v>
      </c>
      <c r="N21" s="502">
        <f t="shared" si="4"/>
        <v>21307.5</v>
      </c>
      <c r="O21" s="503"/>
      <c r="P21" s="504"/>
      <c r="Q21" s="505"/>
      <c r="S21" s="128">
        <f t="shared" si="6"/>
        <v>4</v>
      </c>
      <c r="T21" s="140" t="s">
        <v>189</v>
      </c>
      <c r="U21" s="46">
        <f t="shared" ca="1" si="5"/>
        <v>45981</v>
      </c>
      <c r="Y21" s="136"/>
      <c r="AV21" s="1"/>
    </row>
    <row r="22" spans="1:48" ht="13.15" customHeight="1">
      <c r="A22" s="18"/>
      <c r="B22" s="44" t="s">
        <v>17</v>
      </c>
      <c r="C22" s="45"/>
      <c r="D22" s="17" t="s">
        <v>73</v>
      </c>
      <c r="E22" s="51"/>
      <c r="F22" s="476">
        <f>F17+F20</f>
        <v>9523000</v>
      </c>
      <c r="G22" s="477"/>
      <c r="H22" s="477"/>
      <c r="I22" s="478"/>
      <c r="J22" s="19"/>
      <c r="K22" s="504" t="str">
        <f t="shared" si="2"/>
        <v>5th Equity Payment</v>
      </c>
      <c r="L22" s="505"/>
      <c r="M22" s="46">
        <f t="shared" ca="1" si="3"/>
        <v>46011</v>
      </c>
      <c r="N22" s="502">
        <f t="shared" si="4"/>
        <v>21307.5</v>
      </c>
      <c r="O22" s="503"/>
      <c r="P22" s="504"/>
      <c r="Q22" s="505"/>
      <c r="S22" s="128">
        <f t="shared" si="6"/>
        <v>5</v>
      </c>
      <c r="T22" s="140" t="s">
        <v>190</v>
      </c>
      <c r="U22" s="46">
        <f t="shared" ca="1" si="5"/>
        <v>46011</v>
      </c>
      <c r="AV22" s="1"/>
    </row>
    <row r="23" spans="1:48" ht="13.15" customHeight="1">
      <c r="A23" s="18"/>
      <c r="B23" s="35"/>
      <c r="C23" s="20"/>
      <c r="D23" s="26"/>
      <c r="E23" s="52"/>
      <c r="F23" s="155"/>
      <c r="G23" s="54"/>
      <c r="H23" s="54"/>
      <c r="I23" s="55"/>
      <c r="J23" s="19"/>
      <c r="K23" s="504" t="str">
        <f t="shared" si="2"/>
        <v>6th Equity Payment</v>
      </c>
      <c r="L23" s="505"/>
      <c r="M23" s="46">
        <f t="shared" ca="1" si="3"/>
        <v>46042</v>
      </c>
      <c r="N23" s="502">
        <f t="shared" si="4"/>
        <v>21307.5</v>
      </c>
      <c r="O23" s="503"/>
      <c r="P23" s="504"/>
      <c r="Q23" s="505"/>
      <c r="S23" s="128">
        <f t="shared" si="6"/>
        <v>6</v>
      </c>
      <c r="T23" s="140" t="s">
        <v>191</v>
      </c>
      <c r="U23" s="46">
        <f t="shared" ca="1" si="5"/>
        <v>46042</v>
      </c>
      <c r="AV23" s="1"/>
    </row>
    <row r="24" spans="1:48" ht="15" customHeight="1">
      <c r="A24" s="18"/>
      <c r="B24" s="24" t="s">
        <v>262</v>
      </c>
      <c r="C24" s="25"/>
      <c r="D24" s="40" t="s">
        <v>73</v>
      </c>
      <c r="E24" s="56">
        <f>FORM!E10</f>
        <v>0.05</v>
      </c>
      <c r="F24" s="476">
        <f>F22*E24</f>
        <v>476150</v>
      </c>
      <c r="G24" s="477"/>
      <c r="H24" s="477"/>
      <c r="I24" s="478"/>
      <c r="J24" s="19"/>
      <c r="K24" s="504" t="str">
        <f t="shared" si="2"/>
        <v>7th Equity Payment</v>
      </c>
      <c r="L24" s="505"/>
      <c r="M24" s="46">
        <f t="shared" ca="1" si="3"/>
        <v>46073</v>
      </c>
      <c r="N24" s="502">
        <f t="shared" si="4"/>
        <v>21307.5</v>
      </c>
      <c r="O24" s="503"/>
      <c r="P24" s="127"/>
      <c r="Q24" s="128"/>
      <c r="S24" s="128">
        <f t="shared" si="6"/>
        <v>7</v>
      </c>
      <c r="T24" s="140" t="s">
        <v>192</v>
      </c>
      <c r="U24" s="46">
        <f t="shared" ca="1" si="5"/>
        <v>46073</v>
      </c>
      <c r="AV24" s="1"/>
    </row>
    <row r="25" spans="1:48" ht="13.15" customHeight="1">
      <c r="A25" s="18"/>
      <c r="B25" s="498" t="s">
        <v>197</v>
      </c>
      <c r="C25" s="498"/>
      <c r="D25" s="42" t="str">
        <f>D24</f>
        <v>:</v>
      </c>
      <c r="E25" s="57"/>
      <c r="F25" s="58">
        <f>FORM!E8</f>
        <v>50000</v>
      </c>
      <c r="G25" s="58"/>
      <c r="H25" s="499"/>
      <c r="I25" s="500"/>
      <c r="J25" s="19"/>
      <c r="K25" s="504" t="str">
        <f t="shared" si="2"/>
        <v>8th Equity Payment</v>
      </c>
      <c r="L25" s="505"/>
      <c r="M25" s="46">
        <f t="shared" ca="1" si="3"/>
        <v>46101</v>
      </c>
      <c r="N25" s="502">
        <f t="shared" si="4"/>
        <v>21307.5</v>
      </c>
      <c r="O25" s="503"/>
      <c r="P25" s="127"/>
      <c r="Q25" s="128"/>
      <c r="S25" s="128">
        <f t="shared" si="6"/>
        <v>8</v>
      </c>
      <c r="T25" s="140" t="s">
        <v>194</v>
      </c>
      <c r="U25" s="46">
        <f t="shared" ca="1" si="5"/>
        <v>46101</v>
      </c>
      <c r="AV25" s="1"/>
    </row>
    <row r="26" spans="1:48" ht="13.15" customHeight="1">
      <c r="A26" s="18"/>
      <c r="B26" s="44" t="s">
        <v>199</v>
      </c>
      <c r="C26" s="45"/>
      <c r="D26" s="17" t="s">
        <v>73</v>
      </c>
      <c r="E26" s="59"/>
      <c r="F26" s="476">
        <f>F24-F25</f>
        <v>426150</v>
      </c>
      <c r="G26" s="477"/>
      <c r="H26" s="477"/>
      <c r="I26" s="478"/>
      <c r="J26" s="19"/>
      <c r="K26" s="504" t="str">
        <f t="shared" si="2"/>
        <v>9th Equity Payment</v>
      </c>
      <c r="L26" s="505"/>
      <c r="M26" s="46">
        <f t="shared" ca="1" si="3"/>
        <v>46132</v>
      </c>
      <c r="N26" s="502">
        <f t="shared" si="4"/>
        <v>21307.5</v>
      </c>
      <c r="O26" s="503"/>
      <c r="P26" s="127"/>
      <c r="Q26" s="128"/>
      <c r="S26" s="128">
        <f t="shared" si="6"/>
        <v>9</v>
      </c>
      <c r="T26" s="140" t="s">
        <v>196</v>
      </c>
      <c r="U26" s="46">
        <f t="shared" ca="1" si="5"/>
        <v>46132</v>
      </c>
      <c r="AV26" s="1"/>
    </row>
    <row r="27" spans="1:48" ht="13.15" customHeight="1">
      <c r="A27" s="18"/>
      <c r="B27" s="27" t="s">
        <v>263</v>
      </c>
      <c r="C27" s="28"/>
      <c r="D27" s="17"/>
      <c r="E27" s="59">
        <f>FORM!E12</f>
        <v>20</v>
      </c>
      <c r="F27" s="476">
        <f>F26/E27</f>
        <v>21307.5</v>
      </c>
      <c r="G27" s="477"/>
      <c r="H27" s="477"/>
      <c r="I27" s="478"/>
      <c r="J27" s="19"/>
      <c r="K27" s="504" t="str">
        <f t="shared" si="2"/>
        <v>10th Equity Payment</v>
      </c>
      <c r="L27" s="505"/>
      <c r="M27" s="46">
        <f t="shared" ca="1" si="3"/>
        <v>46162</v>
      </c>
      <c r="N27" s="502">
        <f t="shared" si="4"/>
        <v>21307.5</v>
      </c>
      <c r="O27" s="503"/>
      <c r="P27" s="127"/>
      <c r="Q27" s="128"/>
      <c r="S27" s="128">
        <f t="shared" si="6"/>
        <v>10</v>
      </c>
      <c r="T27" s="140" t="s">
        <v>198</v>
      </c>
      <c r="U27" s="46">
        <f t="shared" ca="1" si="5"/>
        <v>46162</v>
      </c>
      <c r="AV27" s="1"/>
    </row>
    <row r="28" spans="1:48" ht="13.15" customHeight="1">
      <c r="A28" s="18"/>
      <c r="B28" s="35"/>
      <c r="C28" s="20"/>
      <c r="D28" s="17"/>
      <c r="E28" s="26"/>
      <c r="F28" s="47"/>
      <c r="G28" s="47"/>
      <c r="H28" s="47"/>
      <c r="I28" s="47"/>
      <c r="J28" s="19"/>
      <c r="K28" s="504" t="str">
        <f t="shared" si="2"/>
        <v>11th Equity Payment</v>
      </c>
      <c r="L28" s="505"/>
      <c r="M28" s="46">
        <f t="shared" ca="1" si="3"/>
        <v>46193</v>
      </c>
      <c r="N28" s="502">
        <f t="shared" si="4"/>
        <v>21307.5</v>
      </c>
      <c r="O28" s="503"/>
      <c r="P28" s="127"/>
      <c r="Q28" s="128"/>
      <c r="S28" s="128">
        <f t="shared" si="6"/>
        <v>11</v>
      </c>
      <c r="T28" s="140" t="s">
        <v>200</v>
      </c>
      <c r="U28" s="46">
        <f t="shared" ca="1" si="5"/>
        <v>46193</v>
      </c>
      <c r="AV28" s="1"/>
    </row>
    <row r="29" spans="1:48">
      <c r="A29" s="18"/>
      <c r="B29" s="44" t="s">
        <v>207</v>
      </c>
      <c r="C29" s="44"/>
      <c r="D29" s="17" t="s">
        <v>73</v>
      </c>
      <c r="E29" s="67">
        <f>100%-E24</f>
        <v>0.95</v>
      </c>
      <c r="F29" s="476">
        <f>F22*E29</f>
        <v>9046850</v>
      </c>
      <c r="G29" s="477"/>
      <c r="H29" s="477"/>
      <c r="I29" s="478"/>
      <c r="J29" s="19"/>
      <c r="K29" s="504" t="str">
        <f t="shared" si="2"/>
        <v>12th Equity Payment</v>
      </c>
      <c r="L29" s="505"/>
      <c r="M29" s="46">
        <f t="shared" ca="1" si="3"/>
        <v>46223</v>
      </c>
      <c r="N29" s="502">
        <f t="shared" si="4"/>
        <v>21307.5</v>
      </c>
      <c r="O29" s="503"/>
      <c r="P29" s="127"/>
      <c r="Q29" s="128"/>
      <c r="S29" s="128">
        <f t="shared" si="6"/>
        <v>12</v>
      </c>
      <c r="T29" s="140" t="s">
        <v>201</v>
      </c>
      <c r="U29" s="46">
        <f t="shared" ca="1" si="5"/>
        <v>46223</v>
      </c>
      <c r="AV29" s="1"/>
    </row>
    <row r="30" spans="1:48">
      <c r="A30" s="18"/>
      <c r="B30" s="20"/>
      <c r="C30" s="35"/>
      <c r="D30" s="65"/>
      <c r="E30" s="65"/>
      <c r="F30" s="65"/>
      <c r="G30" s="70"/>
      <c r="H30" s="70"/>
      <c r="I30" s="70"/>
      <c r="J30" s="19"/>
      <c r="K30" s="504" t="str">
        <f t="shared" si="2"/>
        <v>13th Equity Payment</v>
      </c>
      <c r="L30" s="505"/>
      <c r="M30" s="46">
        <f t="shared" ca="1" si="3"/>
        <v>46254</v>
      </c>
      <c r="N30" s="502">
        <f t="shared" si="4"/>
        <v>21307.5</v>
      </c>
      <c r="O30" s="503"/>
      <c r="P30" s="127"/>
      <c r="Q30" s="128"/>
      <c r="S30" s="128">
        <f t="shared" si="6"/>
        <v>13</v>
      </c>
      <c r="T30" s="140" t="s">
        <v>264</v>
      </c>
      <c r="U30" s="46">
        <f t="shared" ca="1" si="5"/>
        <v>46254</v>
      </c>
      <c r="AV30" s="1"/>
    </row>
    <row r="31" spans="1:48">
      <c r="A31" s="18"/>
      <c r="B31" s="45" t="s">
        <v>210</v>
      </c>
      <c r="C31" s="44"/>
      <c r="D31" s="71"/>
      <c r="E31" s="72"/>
      <c r="F31" s="73"/>
      <c r="G31" s="70"/>
      <c r="H31" s="70"/>
      <c r="I31" s="70"/>
      <c r="J31" s="19"/>
      <c r="K31" s="504" t="str">
        <f t="shared" si="2"/>
        <v>14th Equity Payment</v>
      </c>
      <c r="L31" s="505"/>
      <c r="M31" s="46">
        <f t="shared" ca="1" si="3"/>
        <v>46285</v>
      </c>
      <c r="N31" s="502">
        <f t="shared" si="4"/>
        <v>21307.5</v>
      </c>
      <c r="O31" s="503"/>
      <c r="P31" s="127"/>
      <c r="Q31" s="128"/>
      <c r="S31" s="128">
        <f t="shared" si="6"/>
        <v>14</v>
      </c>
      <c r="T31" s="140" t="s">
        <v>265</v>
      </c>
      <c r="U31" s="46">
        <f t="shared" ca="1" si="5"/>
        <v>46285</v>
      </c>
      <c r="AV31" s="1"/>
    </row>
    <row r="32" spans="1:48">
      <c r="A32" s="18"/>
      <c r="B32" s="18"/>
      <c r="C32" s="74"/>
      <c r="D32" s="74"/>
      <c r="E32" s="75"/>
      <c r="F32" s="71"/>
      <c r="G32" s="71"/>
      <c r="H32" s="71"/>
      <c r="I32" s="71"/>
      <c r="J32" s="19"/>
      <c r="K32" s="504" t="str">
        <f t="shared" si="2"/>
        <v>15th Equity Payment</v>
      </c>
      <c r="L32" s="505"/>
      <c r="M32" s="46">
        <f t="shared" ca="1" si="3"/>
        <v>46315</v>
      </c>
      <c r="N32" s="502">
        <f t="shared" si="4"/>
        <v>21307.5</v>
      </c>
      <c r="O32" s="503"/>
      <c r="P32" s="127"/>
      <c r="Q32" s="128"/>
      <c r="S32" s="128">
        <f t="shared" si="6"/>
        <v>15</v>
      </c>
      <c r="T32" s="140" t="s">
        <v>266</v>
      </c>
      <c r="U32" s="46">
        <f t="shared" ca="1" si="5"/>
        <v>46315</v>
      </c>
      <c r="AV32" s="1"/>
    </row>
    <row r="33" spans="1:48">
      <c r="A33" s="18"/>
      <c r="B33" s="76" t="s">
        <v>213</v>
      </c>
      <c r="C33" s="76" t="s">
        <v>214</v>
      </c>
      <c r="D33" s="76" t="s">
        <v>215</v>
      </c>
      <c r="E33" s="76" t="s">
        <v>216</v>
      </c>
      <c r="F33" s="489" t="s">
        <v>217</v>
      </c>
      <c r="G33" s="489"/>
      <c r="H33" s="489"/>
      <c r="I33" s="489"/>
      <c r="J33" s="19"/>
      <c r="K33" s="504" t="str">
        <f t="shared" si="2"/>
        <v>16th Equity Payment</v>
      </c>
      <c r="L33" s="505"/>
      <c r="M33" s="46">
        <f t="shared" ca="1" si="3"/>
        <v>46346</v>
      </c>
      <c r="N33" s="502">
        <f t="shared" si="4"/>
        <v>21307.5</v>
      </c>
      <c r="O33" s="503"/>
      <c r="P33" s="127"/>
      <c r="Q33" s="128"/>
      <c r="S33" s="128">
        <f t="shared" si="6"/>
        <v>16</v>
      </c>
      <c r="T33" s="140" t="s">
        <v>267</v>
      </c>
      <c r="U33" s="46">
        <f t="shared" ca="1" si="5"/>
        <v>46346</v>
      </c>
      <c r="AV33" s="1"/>
    </row>
    <row r="34" spans="1:48">
      <c r="A34" s="18"/>
      <c r="B34" s="77">
        <v>5</v>
      </c>
      <c r="C34" s="78">
        <v>7.0000000000000007E-2</v>
      </c>
      <c r="D34" s="79">
        <f>PMT(C34/12,B34*12,-1)</f>
        <v>1.9801198540349535E-2</v>
      </c>
      <c r="E34" s="80">
        <f>F29*D34</f>
        <v>179138.4730147612</v>
      </c>
      <c r="F34" s="490">
        <f>E34/0.33</f>
        <v>542843.8576204885</v>
      </c>
      <c r="G34" s="490"/>
      <c r="H34" s="490"/>
      <c r="I34" s="490"/>
      <c r="J34" s="17"/>
      <c r="K34" s="504" t="str">
        <f t="shared" si="2"/>
        <v>17th Equity Payment</v>
      </c>
      <c r="L34" s="505"/>
      <c r="M34" s="46">
        <f t="shared" ca="1" si="3"/>
        <v>46376</v>
      </c>
      <c r="N34" s="502">
        <f t="shared" si="4"/>
        <v>21307.5</v>
      </c>
      <c r="O34" s="503"/>
      <c r="P34" s="127"/>
      <c r="Q34" s="128"/>
      <c r="S34" s="128">
        <f t="shared" si="6"/>
        <v>17</v>
      </c>
      <c r="T34" s="140" t="s">
        <v>268</v>
      </c>
      <c r="U34" s="46">
        <f t="shared" ca="1" si="5"/>
        <v>46376</v>
      </c>
      <c r="AV34" s="1"/>
    </row>
    <row r="35" spans="1:48">
      <c r="A35" s="18"/>
      <c r="B35" s="77">
        <v>10</v>
      </c>
      <c r="C35" s="78">
        <f>C34</f>
        <v>7.0000000000000007E-2</v>
      </c>
      <c r="D35" s="79">
        <f>PMT(C35/12,B35*12,-1)</f>
        <v>1.1610847921862406E-2</v>
      </c>
      <c r="E35" s="80">
        <f>F29*D35</f>
        <v>105041.59952190091</v>
      </c>
      <c r="F35" s="490">
        <f>E35/0.33</f>
        <v>318307.87733909365</v>
      </c>
      <c r="G35" s="490"/>
      <c r="H35" s="490"/>
      <c r="I35" s="490"/>
      <c r="J35" s="17"/>
      <c r="K35" s="504" t="str">
        <f t="shared" si="2"/>
        <v>18th Equity Payment</v>
      </c>
      <c r="L35" s="505"/>
      <c r="M35" s="46">
        <f t="shared" ca="1" si="3"/>
        <v>46407</v>
      </c>
      <c r="N35" s="502">
        <f t="shared" si="4"/>
        <v>21307.5</v>
      </c>
      <c r="O35" s="503"/>
      <c r="P35" s="127"/>
      <c r="Q35" s="128"/>
      <c r="S35" s="128">
        <f t="shared" si="6"/>
        <v>18</v>
      </c>
      <c r="T35" s="140" t="s">
        <v>269</v>
      </c>
      <c r="U35" s="46">
        <f t="shared" ca="1" si="5"/>
        <v>46407</v>
      </c>
      <c r="AV35" s="1"/>
    </row>
    <row r="36" spans="1:48">
      <c r="A36" s="18"/>
      <c r="B36" s="77">
        <v>15</v>
      </c>
      <c r="C36" s="78">
        <f>C34</f>
        <v>7.0000000000000007E-2</v>
      </c>
      <c r="D36" s="79">
        <f t="shared" ref="D36:D37" si="7">PMT(C36/12,B36*12,-1)</f>
        <v>8.988282708524269E-3</v>
      </c>
      <c r="E36" s="80">
        <f>F29*D36</f>
        <v>81315.64542161279</v>
      </c>
      <c r="F36" s="490">
        <f>E36/0.33</f>
        <v>246411.04673215994</v>
      </c>
      <c r="G36" s="490"/>
      <c r="H36" s="490"/>
      <c r="I36" s="490"/>
      <c r="J36" s="74"/>
      <c r="K36" s="504" t="str">
        <f t="shared" si="2"/>
        <v>19th Equity Payment</v>
      </c>
      <c r="L36" s="505"/>
      <c r="M36" s="46">
        <f t="shared" ca="1" si="3"/>
        <v>46438</v>
      </c>
      <c r="N36" s="502">
        <f t="shared" si="4"/>
        <v>21307.5</v>
      </c>
      <c r="O36" s="503"/>
      <c r="P36" s="127"/>
      <c r="Q36" s="128"/>
      <c r="S36" s="128">
        <f t="shared" si="6"/>
        <v>19</v>
      </c>
      <c r="T36" s="140" t="s">
        <v>270</v>
      </c>
      <c r="U36" s="46">
        <f t="shared" ca="1" si="5"/>
        <v>46438</v>
      </c>
      <c r="AV36" s="1"/>
    </row>
    <row r="37" spans="1:48">
      <c r="A37" s="18"/>
      <c r="B37" s="77">
        <v>20</v>
      </c>
      <c r="C37" s="78">
        <f>C36</f>
        <v>7.0000000000000007E-2</v>
      </c>
      <c r="D37" s="79">
        <f t="shared" si="7"/>
        <v>7.7529893561887461E-3</v>
      </c>
      <c r="E37" s="80">
        <f>F29*D37</f>
        <v>70140.131757036157</v>
      </c>
      <c r="F37" s="490">
        <f>E37/0.33</f>
        <v>212545.85380920046</v>
      </c>
      <c r="G37" s="490"/>
      <c r="H37" s="490"/>
      <c r="I37" s="490"/>
      <c r="J37" s="19"/>
      <c r="K37" s="504" t="str">
        <f t="shared" si="2"/>
        <v>20th Equity Payment</v>
      </c>
      <c r="L37" s="505"/>
      <c r="M37" s="46">
        <f t="shared" ca="1" si="3"/>
        <v>46466</v>
      </c>
      <c r="N37" s="502">
        <f t="shared" si="4"/>
        <v>21307.5</v>
      </c>
      <c r="O37" s="503"/>
      <c r="P37" s="127"/>
      <c r="Q37" s="128"/>
      <c r="S37" s="128">
        <f t="shared" si="6"/>
        <v>20</v>
      </c>
      <c r="T37" s="140" t="s">
        <v>271</v>
      </c>
      <c r="U37" s="46">
        <f t="shared" ca="1" si="5"/>
        <v>46466</v>
      </c>
      <c r="AV37" s="1"/>
    </row>
    <row r="38" spans="1:48">
      <c r="A38" s="18"/>
      <c r="B38" s="81" t="s">
        <v>226</v>
      </c>
      <c r="C38" s="82"/>
      <c r="D38" s="83"/>
      <c r="E38" s="129"/>
      <c r="F38" s="130"/>
      <c r="G38" s="130"/>
      <c r="H38" s="130"/>
      <c r="I38" s="130"/>
      <c r="J38" s="19"/>
      <c r="K38" s="504" t="str">
        <f t="shared" si="2"/>
        <v/>
      </c>
      <c r="L38" s="505"/>
      <c r="M38" s="46" t="str">
        <f t="shared" si="3"/>
        <v/>
      </c>
      <c r="N38" s="502" t="str">
        <f t="shared" si="4"/>
        <v/>
      </c>
      <c r="O38" s="503"/>
      <c r="P38" s="127"/>
      <c r="Q38" s="128"/>
      <c r="S38" s="128">
        <f t="shared" si="6"/>
        <v>21</v>
      </c>
      <c r="T38" s="140" t="s">
        <v>272</v>
      </c>
      <c r="U38" s="46">
        <f t="shared" ca="1" si="5"/>
        <v>46497</v>
      </c>
      <c r="AV38" s="1"/>
    </row>
    <row r="39" spans="1:48">
      <c r="A39" s="18"/>
      <c r="B39" s="81" t="s">
        <v>227</v>
      </c>
      <c r="C39" s="82"/>
      <c r="D39" s="83"/>
      <c r="E39" s="129"/>
      <c r="F39" s="130"/>
      <c r="G39" s="130"/>
      <c r="H39" s="130"/>
      <c r="I39" s="130"/>
      <c r="J39" s="19"/>
      <c r="K39" s="504" t="str">
        <f t="shared" si="2"/>
        <v/>
      </c>
      <c r="L39" s="505"/>
      <c r="M39" s="46" t="str">
        <f t="shared" si="3"/>
        <v/>
      </c>
      <c r="N39" s="502" t="str">
        <f t="shared" si="4"/>
        <v/>
      </c>
      <c r="O39" s="503"/>
      <c r="P39" s="494"/>
      <c r="Q39" s="495"/>
      <c r="S39" s="128">
        <f t="shared" si="6"/>
        <v>22</v>
      </c>
      <c r="T39" s="140" t="s">
        <v>273</v>
      </c>
      <c r="U39" s="46">
        <f t="shared" ca="1" si="5"/>
        <v>46527</v>
      </c>
      <c r="AV39" s="1"/>
    </row>
    <row r="40" spans="1:48">
      <c r="A40" s="18"/>
      <c r="B40" s="91" t="s">
        <v>228</v>
      </c>
      <c r="C40" s="82"/>
      <c r="D40" s="83"/>
      <c r="E40" s="129"/>
      <c r="F40" s="130"/>
      <c r="G40" s="130"/>
      <c r="H40" s="130"/>
      <c r="I40" s="130"/>
      <c r="J40" s="19"/>
      <c r="K40" s="504" t="str">
        <f t="shared" si="2"/>
        <v/>
      </c>
      <c r="L40" s="505"/>
      <c r="M40" s="46" t="str">
        <f t="shared" si="3"/>
        <v/>
      </c>
      <c r="N40" s="502" t="str">
        <f t="shared" si="4"/>
        <v/>
      </c>
      <c r="O40" s="503"/>
      <c r="P40" s="153"/>
      <c r="Q40" s="154"/>
      <c r="S40" s="128">
        <f t="shared" si="6"/>
        <v>23</v>
      </c>
      <c r="T40" s="140" t="s">
        <v>274</v>
      </c>
      <c r="U40" s="46">
        <f t="shared" ca="1" si="5"/>
        <v>46558</v>
      </c>
      <c r="AV40" s="1"/>
    </row>
    <row r="41" spans="1:48">
      <c r="A41" s="18"/>
      <c r="B41" s="91" t="s">
        <v>229</v>
      </c>
      <c r="C41" s="82"/>
      <c r="D41" s="83"/>
      <c r="E41" s="129"/>
      <c r="F41" s="130"/>
      <c r="G41" s="130"/>
      <c r="H41" s="130"/>
      <c r="I41" s="130"/>
      <c r="J41" s="19"/>
      <c r="K41" s="504" t="str">
        <f t="shared" si="2"/>
        <v/>
      </c>
      <c r="L41" s="505"/>
      <c r="M41" s="46" t="str">
        <f t="shared" si="3"/>
        <v/>
      </c>
      <c r="N41" s="502" t="str">
        <f t="shared" si="4"/>
        <v/>
      </c>
      <c r="O41" s="503"/>
      <c r="P41" s="153"/>
      <c r="Q41" s="154"/>
      <c r="S41" s="128">
        <f t="shared" si="6"/>
        <v>24</v>
      </c>
      <c r="T41" s="140" t="s">
        <v>275</v>
      </c>
      <c r="U41" s="46">
        <f t="shared" ca="1" si="5"/>
        <v>46588</v>
      </c>
      <c r="AV41" s="1"/>
    </row>
    <row r="42" spans="1:48">
      <c r="A42" s="18"/>
      <c r="B42" s="26"/>
      <c r="C42" s="82"/>
      <c r="D42" s="83"/>
      <c r="E42" s="129"/>
      <c r="F42" s="130"/>
      <c r="G42" s="130"/>
      <c r="H42" s="130"/>
      <c r="I42" s="130"/>
      <c r="J42" s="19"/>
      <c r="K42" s="492" t="s">
        <v>203</v>
      </c>
      <c r="L42" s="492"/>
      <c r="M42" s="66">
        <f ca="1">Y19</f>
        <v>46497</v>
      </c>
      <c r="N42" s="554">
        <f>F29</f>
        <v>9046850</v>
      </c>
      <c r="O42" s="554"/>
      <c r="P42" s="494"/>
      <c r="Q42" s="495"/>
      <c r="S42" s="18"/>
      <c r="T42" s="123"/>
      <c r="U42" s="46"/>
      <c r="AV42" s="1"/>
    </row>
    <row r="43" spans="1:48">
      <c r="A43" s="18"/>
      <c r="B43" s="19" t="s">
        <v>230</v>
      </c>
      <c r="C43" s="82"/>
      <c r="D43" s="83"/>
      <c r="E43" s="129"/>
      <c r="J43" s="19"/>
      <c r="K43" s="17"/>
      <c r="L43" s="17"/>
      <c r="M43" s="68"/>
      <c r="N43" s="295"/>
      <c r="O43" s="295"/>
      <c r="P43" s="122"/>
      <c r="Q43" s="122"/>
      <c r="S43" s="126"/>
      <c r="T43" s="123"/>
      <c r="U43" s="46"/>
      <c r="AV43" s="1"/>
    </row>
    <row r="44" spans="1:48">
      <c r="A44" s="18"/>
      <c r="B44" s="76" t="s">
        <v>213</v>
      </c>
      <c r="C44" s="76" t="s">
        <v>214</v>
      </c>
      <c r="D44" s="76" t="s">
        <v>215</v>
      </c>
      <c r="E44" s="76" t="s">
        <v>231</v>
      </c>
      <c r="F44" s="489" t="s">
        <v>217</v>
      </c>
      <c r="G44" s="489"/>
      <c r="H44" s="489"/>
      <c r="I44" s="489"/>
      <c r="J44" s="19"/>
      <c r="N44" s="555"/>
      <c r="O44" s="555"/>
      <c r="S44" s="71"/>
      <c r="T44" s="123"/>
      <c r="U44" s="46"/>
      <c r="AV44" s="1"/>
    </row>
    <row r="45" spans="1:48">
      <c r="A45" s="18"/>
      <c r="B45" s="78" t="s">
        <v>257</v>
      </c>
      <c r="C45" s="131">
        <v>0.16</v>
      </c>
      <c r="D45" s="79">
        <f>'Pricelist Standard'!AQ6</f>
        <v>2.4318057116359135E-2</v>
      </c>
      <c r="E45" s="80">
        <f>F29*D45</f>
        <v>220001.81502313365</v>
      </c>
      <c r="F45" s="490">
        <f>E45/0.33</f>
        <v>666672.16673676856</v>
      </c>
      <c r="G45" s="490"/>
      <c r="H45" s="490"/>
      <c r="I45" s="490"/>
      <c r="J45" s="19"/>
      <c r="K45" s="19" t="s">
        <v>218</v>
      </c>
      <c r="L45" s="18"/>
      <c r="M45" s="18"/>
      <c r="N45" s="18"/>
      <c r="O45" s="19" t="s">
        <v>219</v>
      </c>
      <c r="P45" s="18"/>
      <c r="Q45" s="18"/>
      <c r="S45" s="90"/>
      <c r="T45" s="123"/>
      <c r="U45" s="46"/>
      <c r="AV45" s="1"/>
    </row>
    <row r="46" spans="1:48" hidden="1">
      <c r="A46" s="18"/>
      <c r="B46" s="78" t="s">
        <v>233</v>
      </c>
      <c r="C46" s="131">
        <v>0.18</v>
      </c>
      <c r="D46" s="79">
        <f>'Pricelist Standard'!AU6</f>
        <v>1.801851990409967E-2</v>
      </c>
      <c r="E46" s="80">
        <f>F29*D46</f>
        <v>163010.84679440409</v>
      </c>
      <c r="F46" s="490">
        <f>E46/0.33</f>
        <v>493972.26301334571</v>
      </c>
      <c r="G46" s="490"/>
      <c r="H46" s="490"/>
      <c r="I46" s="490"/>
      <c r="J46" s="19"/>
      <c r="K46" s="86"/>
      <c r="L46" s="18"/>
      <c r="M46" s="26"/>
      <c r="N46" s="18"/>
      <c r="O46" s="18"/>
      <c r="P46" s="18"/>
      <c r="Q46" s="18"/>
      <c r="S46" s="18"/>
      <c r="T46" s="123"/>
      <c r="U46" s="46"/>
      <c r="AV46" s="1"/>
    </row>
    <row r="47" spans="1:48" hidden="1">
      <c r="A47" s="18"/>
      <c r="B47" s="91" t="s">
        <v>228</v>
      </c>
      <c r="C47" s="82"/>
      <c r="D47" s="83"/>
      <c r="E47" s="129"/>
      <c r="F47" s="130"/>
      <c r="G47" s="130"/>
      <c r="H47" s="130"/>
      <c r="I47" s="130"/>
      <c r="J47" s="19"/>
      <c r="K47" s="18"/>
      <c r="L47" s="18"/>
      <c r="M47" s="26"/>
      <c r="N47" s="18"/>
      <c r="O47" s="18"/>
      <c r="P47" s="18"/>
      <c r="Q47" s="18"/>
      <c r="S47" s="18"/>
      <c r="T47" s="123"/>
      <c r="U47" s="46"/>
      <c r="AV47" s="1"/>
    </row>
    <row r="48" spans="1:48">
      <c r="A48" s="18"/>
      <c r="C48" s="82"/>
      <c r="D48" s="83"/>
      <c r="E48" s="84"/>
      <c r="F48" s="486"/>
      <c r="G48" s="486"/>
      <c r="H48" s="85"/>
      <c r="I48" s="18"/>
      <c r="J48" s="19"/>
      <c r="K48" s="491" t="str">
        <f>FORM!E20</f>
        <v>SELLER The Aguirre Townhouse Las Piñas</v>
      </c>
      <c r="L48" s="491"/>
      <c r="M48" s="491"/>
      <c r="N48" s="19"/>
      <c r="O48" s="491" t="str">
        <f>FORM!E16</f>
        <v>BUYER The Aguirre Townhouse Las Piñas</v>
      </c>
      <c r="P48" s="491"/>
      <c r="Q48" s="491"/>
      <c r="S48" s="18"/>
      <c r="T48" s="123"/>
      <c r="U48" s="46"/>
      <c r="AV48" s="1"/>
    </row>
    <row r="49" spans="1:48">
      <c r="A49" s="18"/>
      <c r="C49" s="88"/>
      <c r="D49" s="26"/>
      <c r="E49" s="18"/>
      <c r="F49" s="18"/>
      <c r="G49" s="18"/>
      <c r="H49" s="18"/>
      <c r="I49" s="18"/>
      <c r="J49" s="19"/>
      <c r="K49" s="86" t="s">
        <v>224</v>
      </c>
      <c r="L49" s="487"/>
      <c r="M49" s="487"/>
      <c r="N49" s="18"/>
      <c r="O49" s="488" t="s">
        <v>225</v>
      </c>
      <c r="P49" s="488"/>
      <c r="Q49" s="488"/>
      <c r="S49" s="18"/>
      <c r="T49" s="123"/>
      <c r="U49" s="46"/>
      <c r="AV49" s="1"/>
    </row>
    <row r="50" spans="1:48">
      <c r="A50" s="18"/>
      <c r="C50" s="18"/>
      <c r="D50" s="26"/>
      <c r="E50" s="18"/>
      <c r="F50" s="18"/>
      <c r="G50" s="18"/>
      <c r="H50" s="18"/>
      <c r="I50" s="18"/>
      <c r="J50" s="19"/>
      <c r="K50" s="89"/>
      <c r="L50" s="89"/>
      <c r="M50" s="89"/>
      <c r="N50" s="89"/>
      <c r="O50" s="89"/>
      <c r="P50" s="90"/>
      <c r="Q50" s="90"/>
      <c r="S50" s="18"/>
      <c r="T50" s="123"/>
      <c r="U50" s="46"/>
      <c r="AV50" s="1"/>
    </row>
    <row r="51" spans="1:48">
      <c r="A51" s="18"/>
      <c r="C51" s="88"/>
      <c r="D51" s="26"/>
      <c r="E51" s="18"/>
      <c r="F51" s="18"/>
      <c r="G51" s="18"/>
      <c r="H51" s="18"/>
      <c r="I51" s="18"/>
      <c r="J51" s="19"/>
      <c r="K51" s="92"/>
      <c r="L51" s="18"/>
      <c r="M51" s="39"/>
      <c r="N51" s="18"/>
      <c r="O51" s="18"/>
      <c r="P51" s="18"/>
      <c r="Q51" s="18"/>
      <c r="S51" s="18"/>
      <c r="T51" s="123" t="s">
        <v>234</v>
      </c>
      <c r="U51" s="46"/>
      <c r="AL51" s="87">
        <v>3128865.99</v>
      </c>
      <c r="AV51" s="1"/>
    </row>
    <row r="52" spans="1:48">
      <c r="A52" s="18"/>
      <c r="B52" s="93"/>
      <c r="C52" s="18"/>
      <c r="D52" s="18"/>
      <c r="E52" s="18"/>
      <c r="F52" s="18"/>
      <c r="G52" s="18"/>
      <c r="H52" s="18"/>
      <c r="I52" s="18"/>
      <c r="J52" s="19"/>
      <c r="K52" s="92"/>
      <c r="L52" s="18"/>
      <c r="M52" s="39"/>
      <c r="N52" s="18"/>
      <c r="O52" s="18"/>
      <c r="P52" s="18"/>
      <c r="Q52" s="18"/>
      <c r="S52" s="18"/>
      <c r="T52" s="123" t="s">
        <v>235</v>
      </c>
      <c r="U52" s="46"/>
      <c r="AV52" s="1"/>
    </row>
    <row r="53" spans="1:48">
      <c r="A53" s="18"/>
      <c r="J53" s="19"/>
      <c r="K53" s="92"/>
      <c r="L53" s="18"/>
      <c r="M53" s="39"/>
      <c r="N53" s="18"/>
      <c r="O53" s="18"/>
      <c r="P53" s="18"/>
      <c r="Q53" s="18"/>
      <c r="S53" s="18"/>
      <c r="T53" s="123" t="s">
        <v>236</v>
      </c>
      <c r="U53" s="46"/>
      <c r="AV53" s="1"/>
    </row>
    <row r="54" spans="1:48">
      <c r="A54" s="18"/>
      <c r="J54" s="17"/>
      <c r="K54" s="92"/>
      <c r="L54" s="18"/>
      <c r="M54" s="39"/>
      <c r="N54" s="18"/>
      <c r="O54" s="18"/>
      <c r="P54" s="18"/>
      <c r="Q54" s="18"/>
      <c r="S54" s="18"/>
      <c r="T54" s="123" t="s">
        <v>237</v>
      </c>
      <c r="U54" s="46"/>
      <c r="AV54" s="1"/>
    </row>
    <row r="55" spans="1:48">
      <c r="A55" s="18"/>
      <c r="J55" s="26"/>
      <c r="K55" s="92"/>
      <c r="L55" s="18"/>
      <c r="M55" s="39"/>
      <c r="N55" s="18"/>
      <c r="O55" s="18"/>
      <c r="P55" s="18"/>
      <c r="Q55" s="18"/>
      <c r="S55" s="18"/>
      <c r="T55" s="123" t="s">
        <v>238</v>
      </c>
      <c r="U55" s="46"/>
      <c r="AV55" s="1"/>
    </row>
    <row r="56" spans="1:48">
      <c r="A56" s="18"/>
      <c r="J56" s="26"/>
      <c r="K56" s="92"/>
      <c r="L56" s="18"/>
      <c r="M56" s="39"/>
      <c r="N56" s="18"/>
      <c r="O56" s="18"/>
      <c r="P56" s="18"/>
      <c r="Q56" s="18"/>
      <c r="S56" s="18"/>
      <c r="T56" s="123" t="s">
        <v>239</v>
      </c>
      <c r="U56" s="46"/>
      <c r="AV56" s="1"/>
    </row>
    <row r="57" spans="1:48">
      <c r="A57" s="18"/>
      <c r="J57" s="26"/>
      <c r="K57" s="92"/>
      <c r="L57" s="18"/>
      <c r="M57" s="39"/>
      <c r="N57" s="18"/>
      <c r="O57" s="18"/>
      <c r="P57" s="18"/>
      <c r="Q57" s="18"/>
      <c r="S57" s="18"/>
      <c r="T57" s="123"/>
      <c r="U57" s="46"/>
      <c r="AH57" s="1"/>
      <c r="AU57" s="1"/>
      <c r="AV57" s="1"/>
    </row>
    <row r="58" spans="1:48">
      <c r="A58" s="18"/>
      <c r="J58" s="26"/>
      <c r="K58" s="92"/>
      <c r="L58" s="18"/>
      <c r="M58" s="39"/>
      <c r="N58" s="18"/>
      <c r="O58" s="18"/>
      <c r="P58" s="18"/>
      <c r="Q58" s="18"/>
      <c r="S58" s="18"/>
      <c r="T58" s="123"/>
      <c r="U58" s="46"/>
      <c r="AH58" s="1"/>
      <c r="AU58" s="1"/>
      <c r="AV58" s="1"/>
    </row>
    <row r="59" spans="1:48" ht="15" customHeight="1">
      <c r="A59" s="18"/>
      <c r="J59" s="17"/>
      <c r="K59" s="92"/>
      <c r="L59" s="18"/>
      <c r="M59" s="39"/>
      <c r="N59" s="18"/>
      <c r="O59" s="18"/>
      <c r="P59" s="18"/>
      <c r="Q59" s="18"/>
      <c r="S59" s="18"/>
      <c r="T59" s="132"/>
      <c r="U59" s="46"/>
      <c r="AH59" s="1"/>
      <c r="AU59" s="1"/>
      <c r="AV59" s="1"/>
    </row>
    <row r="60" spans="1:48">
      <c r="A60" s="18"/>
      <c r="B60" s="482"/>
      <c r="C60" s="482"/>
      <c r="D60" s="482"/>
      <c r="E60" s="482"/>
      <c r="F60" s="482"/>
      <c r="G60" s="483"/>
      <c r="H60" s="483"/>
      <c r="I60" s="483"/>
      <c r="J60" s="17"/>
      <c r="K60" s="92"/>
      <c r="L60" s="18"/>
      <c r="M60" s="39"/>
      <c r="N60" s="18"/>
      <c r="O60" s="18"/>
      <c r="P60" s="18"/>
      <c r="Q60" s="18"/>
      <c r="S60" s="18"/>
      <c r="T60" s="132"/>
      <c r="U60" s="46"/>
      <c r="AH60" s="1"/>
      <c r="AU60" s="1"/>
      <c r="AV60" s="1"/>
    </row>
    <row r="61" spans="1:48" ht="15" customHeight="1">
      <c r="A61" s="18"/>
      <c r="B61" s="482"/>
      <c r="C61" s="482"/>
      <c r="D61" s="482"/>
      <c r="E61" s="482"/>
      <c r="F61" s="482"/>
      <c r="G61" s="483"/>
      <c r="H61" s="483"/>
      <c r="I61" s="483"/>
      <c r="J61" s="71"/>
      <c r="K61" s="92"/>
      <c r="L61" s="18"/>
      <c r="M61" s="39"/>
      <c r="N61" s="18"/>
      <c r="O61" s="18"/>
      <c r="P61" s="18"/>
      <c r="Q61" s="18"/>
      <c r="S61" s="18"/>
      <c r="T61" s="123"/>
      <c r="U61" s="46"/>
      <c r="AH61" s="1"/>
      <c r="AU61" s="1"/>
      <c r="AV61" s="1"/>
    </row>
    <row r="62" spans="1:48">
      <c r="A62" s="18"/>
      <c r="B62" s="482"/>
      <c r="C62" s="482"/>
      <c r="D62" s="482"/>
      <c r="E62" s="482"/>
      <c r="F62" s="482"/>
      <c r="G62" s="483"/>
      <c r="H62" s="483"/>
      <c r="I62" s="483"/>
      <c r="J62" s="71"/>
      <c r="K62" s="92"/>
      <c r="L62" s="18"/>
      <c r="M62" s="39"/>
      <c r="N62" s="18"/>
      <c r="O62" s="18"/>
      <c r="P62" s="18"/>
      <c r="Q62" s="18"/>
      <c r="S62" s="18"/>
      <c r="T62" s="123"/>
      <c r="U62" s="46"/>
      <c r="AH62" s="1"/>
      <c r="AU62" s="1"/>
      <c r="AV62" s="1"/>
    </row>
    <row r="63" spans="1:48" ht="15" customHeight="1">
      <c r="A63" s="18"/>
      <c r="B63" s="482"/>
      <c r="C63" s="482"/>
      <c r="D63" s="482"/>
      <c r="E63" s="482"/>
      <c r="F63" s="482"/>
      <c r="G63" s="483"/>
      <c r="H63" s="483"/>
      <c r="I63" s="483"/>
      <c r="J63" s="71"/>
      <c r="K63" s="92"/>
      <c r="L63" s="18"/>
      <c r="M63" s="39"/>
      <c r="N63" s="18"/>
      <c r="O63" s="18"/>
      <c r="P63" s="18"/>
      <c r="Q63" s="18"/>
      <c r="S63" s="126"/>
      <c r="T63" s="123"/>
      <c r="U63" s="46"/>
      <c r="AH63" s="1"/>
      <c r="AU63" s="1"/>
      <c r="AV63" s="1"/>
    </row>
    <row r="64" spans="1:48">
      <c r="A64" s="18"/>
      <c r="B64" s="482"/>
      <c r="C64" s="482"/>
      <c r="D64" s="482"/>
      <c r="E64" s="482"/>
      <c r="F64" s="482"/>
      <c r="G64" s="483"/>
      <c r="H64" s="483"/>
      <c r="I64" s="483"/>
      <c r="J64" s="18"/>
      <c r="K64" s="92"/>
      <c r="L64" s="18"/>
      <c r="M64" s="39"/>
      <c r="N64" s="18"/>
      <c r="O64" s="18"/>
      <c r="P64" s="18"/>
      <c r="Q64" s="18"/>
      <c r="S64" s="71"/>
      <c r="T64" s="123" t="s">
        <v>240</v>
      </c>
      <c r="U64" s="46"/>
      <c r="AH64" s="1"/>
      <c r="AU64" s="1"/>
      <c r="AV64" s="1"/>
    </row>
    <row r="65" spans="1:48" ht="15" customHeight="1">
      <c r="A65" s="18"/>
      <c r="B65" s="482"/>
      <c r="C65" s="482"/>
      <c r="D65" s="482"/>
      <c r="E65" s="482"/>
      <c r="F65" s="482"/>
      <c r="G65" s="483"/>
      <c r="H65" s="483"/>
      <c r="I65" s="483"/>
      <c r="J65" s="18"/>
      <c r="K65" s="19"/>
      <c r="L65" s="18"/>
      <c r="M65" s="18"/>
      <c r="N65" s="18"/>
      <c r="O65" s="19"/>
      <c r="P65" s="18"/>
      <c r="Q65" s="18"/>
      <c r="S65" s="18"/>
      <c r="T65" s="123" t="s">
        <v>241</v>
      </c>
      <c r="U65" s="46"/>
      <c r="AH65" s="1"/>
      <c r="AU65" s="1"/>
      <c r="AV65" s="1"/>
    </row>
    <row r="66" spans="1:48">
      <c r="A66" s="18"/>
      <c r="B66" s="482"/>
      <c r="C66" s="482"/>
      <c r="D66" s="482"/>
      <c r="E66" s="482"/>
      <c r="F66" s="482"/>
      <c r="G66" s="483"/>
      <c r="H66" s="483"/>
      <c r="I66" s="483"/>
      <c r="J66" s="18"/>
      <c r="K66" s="18"/>
      <c r="L66" s="18"/>
      <c r="M66" s="26"/>
      <c r="N66" s="18"/>
      <c r="O66" s="18"/>
      <c r="P66" s="18"/>
      <c r="Q66" s="18"/>
      <c r="S66" s="18"/>
      <c r="T66" s="123" t="s">
        <v>242</v>
      </c>
      <c r="U66" s="46"/>
      <c r="AH66" s="1"/>
      <c r="AU66" s="1"/>
      <c r="AV66" s="1"/>
    </row>
    <row r="67" spans="1:48" ht="15" customHeight="1">
      <c r="A67" s="18"/>
      <c r="B67" s="482"/>
      <c r="C67" s="482"/>
      <c r="D67" s="482"/>
      <c r="E67" s="482"/>
      <c r="F67" s="482"/>
      <c r="G67" s="483"/>
      <c r="H67" s="483"/>
      <c r="I67" s="483"/>
      <c r="J67" s="18"/>
      <c r="K67" s="18"/>
      <c r="L67" s="18"/>
      <c r="M67" s="26"/>
      <c r="N67" s="18"/>
      <c r="O67" s="18"/>
      <c r="P67" s="18"/>
      <c r="Q67" s="18"/>
      <c r="S67" s="18"/>
      <c r="T67" s="123" t="s">
        <v>243</v>
      </c>
      <c r="U67" s="46"/>
      <c r="AH67" s="1"/>
      <c r="AU67" s="1"/>
      <c r="AV67" s="1"/>
    </row>
    <row r="68" spans="1:48">
      <c r="A68" s="18"/>
      <c r="B68" s="93"/>
      <c r="C68" s="18"/>
      <c r="D68" s="18"/>
      <c r="E68" s="18"/>
      <c r="F68" s="18"/>
      <c r="G68" s="18"/>
      <c r="H68" s="18"/>
      <c r="I68" s="18"/>
      <c r="J68" s="18"/>
      <c r="K68" s="484"/>
      <c r="L68" s="484"/>
      <c r="M68" s="484"/>
      <c r="N68" s="19"/>
      <c r="O68" s="484"/>
      <c r="P68" s="484"/>
      <c r="Q68" s="484"/>
      <c r="S68" s="18"/>
      <c r="T68" s="123" t="s">
        <v>244</v>
      </c>
      <c r="U68" s="46"/>
      <c r="AH68" s="1"/>
      <c r="AU68" s="1"/>
      <c r="AV68" s="1"/>
    </row>
    <row r="69" spans="1:48" ht="12.75" customHeight="1">
      <c r="A69" s="18"/>
      <c r="C69" s="93"/>
      <c r="D69" s="479"/>
      <c r="E69" s="480"/>
      <c r="F69" s="480"/>
      <c r="G69" s="18"/>
      <c r="H69" s="18"/>
      <c r="I69" s="18"/>
      <c r="J69" s="71"/>
      <c r="K69" s="18"/>
      <c r="L69" s="474"/>
      <c r="M69" s="474"/>
      <c r="N69" s="18"/>
      <c r="O69" s="485"/>
      <c r="P69" s="485"/>
      <c r="Q69" s="485"/>
      <c r="S69" s="18"/>
      <c r="T69" s="123" t="s">
        <v>245</v>
      </c>
      <c r="U69" s="46"/>
      <c r="AH69" s="1"/>
      <c r="AU69" s="1"/>
      <c r="AV69" s="1"/>
    </row>
    <row r="70" spans="1:48">
      <c r="A70" s="18"/>
      <c r="B70" s="93"/>
      <c r="C70" s="18"/>
      <c r="D70" s="94"/>
      <c r="E70" s="94"/>
      <c r="F70" s="18"/>
      <c r="G70" s="18"/>
      <c r="H70" s="18"/>
      <c r="I70" s="18"/>
      <c r="J70" s="71"/>
      <c r="K70" s="92"/>
      <c r="L70" s="18"/>
      <c r="M70" s="84"/>
      <c r="N70" s="18"/>
      <c r="O70" s="18"/>
      <c r="P70" s="18"/>
      <c r="Q70" s="18"/>
      <c r="S70" s="18"/>
      <c r="T70" s="123" t="s">
        <v>246</v>
      </c>
      <c r="U70" s="46"/>
      <c r="AH70" s="1"/>
      <c r="AU70" s="1"/>
      <c r="AV70" s="1"/>
    </row>
    <row r="71" spans="1:48">
      <c r="A71" s="18"/>
      <c r="B71" s="93"/>
      <c r="C71" s="18"/>
      <c r="D71" s="94"/>
      <c r="E71" s="94"/>
      <c r="F71" s="18"/>
      <c r="G71" s="18"/>
      <c r="H71" s="18"/>
      <c r="I71" s="18"/>
      <c r="J71" s="71"/>
      <c r="K71" s="92"/>
      <c r="L71" s="18"/>
      <c r="M71" s="84"/>
      <c r="N71" s="18"/>
      <c r="O71" s="18"/>
      <c r="P71" s="18"/>
      <c r="Q71" s="18"/>
      <c r="S71" s="18"/>
      <c r="T71" s="123" t="s">
        <v>247</v>
      </c>
      <c r="U71" s="46"/>
      <c r="AH71" s="1"/>
      <c r="AU71" s="1"/>
      <c r="AV71" s="1"/>
    </row>
    <row r="72" spans="1:48">
      <c r="A72" s="18"/>
      <c r="B72" s="93"/>
      <c r="C72" s="18"/>
      <c r="D72" s="94"/>
      <c r="E72" s="94"/>
      <c r="F72" s="18"/>
      <c r="G72" s="18"/>
      <c r="H72" s="18"/>
      <c r="I72" s="18"/>
      <c r="J72" s="71"/>
      <c r="K72" s="92"/>
      <c r="L72" s="18"/>
      <c r="M72" s="39"/>
      <c r="N72" s="18"/>
      <c r="O72" s="18"/>
      <c r="P72" s="18"/>
      <c r="Q72" s="18"/>
      <c r="S72" s="18"/>
      <c r="T72" s="123" t="s">
        <v>248</v>
      </c>
      <c r="U72" s="46"/>
      <c r="AH72" s="1"/>
      <c r="AU72" s="1"/>
      <c r="AV72" s="1"/>
    </row>
    <row r="73" spans="1:48">
      <c r="A73" s="18"/>
      <c r="B73" s="93"/>
      <c r="C73" s="18"/>
      <c r="D73" s="94"/>
      <c r="E73" s="94"/>
      <c r="F73" s="18"/>
      <c r="G73" s="18"/>
      <c r="H73" s="18"/>
      <c r="I73" s="18"/>
      <c r="J73" s="71"/>
      <c r="K73" s="92"/>
      <c r="L73" s="18"/>
      <c r="M73" s="39"/>
      <c r="N73" s="18"/>
      <c r="O73" s="18"/>
      <c r="P73" s="18"/>
      <c r="Q73" s="18"/>
      <c r="S73" s="18"/>
      <c r="T73" s="123" t="s">
        <v>249</v>
      </c>
      <c r="U73" s="46"/>
      <c r="AH73" s="1"/>
      <c r="AU73" s="1"/>
      <c r="AV73" s="1"/>
    </row>
    <row r="74" spans="1:48">
      <c r="A74" s="18"/>
      <c r="B74" s="93"/>
      <c r="C74" s="18"/>
      <c r="D74" s="94"/>
      <c r="E74" s="94"/>
      <c r="F74" s="18"/>
      <c r="G74" s="18"/>
      <c r="H74" s="18"/>
      <c r="I74" s="18"/>
      <c r="J74" s="71"/>
      <c r="K74" s="92"/>
      <c r="L74" s="18"/>
      <c r="M74" s="39"/>
      <c r="N74" s="18"/>
      <c r="O74" s="18"/>
      <c r="P74" s="18"/>
      <c r="Q74" s="18"/>
      <c r="S74" s="18"/>
      <c r="T74" s="123" t="s">
        <v>250</v>
      </c>
      <c r="AH74" s="1"/>
      <c r="AU74" s="1"/>
      <c r="AV74" s="1"/>
    </row>
    <row r="75" spans="1:48">
      <c r="A75" s="18"/>
      <c r="J75" s="71"/>
      <c r="K75" s="92"/>
      <c r="L75" s="18"/>
      <c r="M75" s="39"/>
      <c r="N75" s="18"/>
      <c r="O75" s="18"/>
      <c r="P75" s="18"/>
      <c r="Q75" s="18"/>
      <c r="S75" s="18"/>
      <c r="AH75" s="1"/>
      <c r="AU75" s="1"/>
      <c r="AV75" s="1"/>
    </row>
    <row r="76" spans="1:48">
      <c r="A76" s="18"/>
      <c r="J76" s="71"/>
      <c r="K76" s="92"/>
      <c r="L76" s="18"/>
      <c r="M76" s="39"/>
      <c r="N76" s="18"/>
      <c r="O76" s="18"/>
      <c r="P76" s="18"/>
      <c r="Q76" s="18"/>
      <c r="S76" s="18"/>
      <c r="AH76" s="1"/>
      <c r="AU76" s="1"/>
      <c r="AV76" s="1"/>
    </row>
    <row r="77" spans="1:48">
      <c r="A77" s="18"/>
      <c r="J77" s="71"/>
      <c r="K77" s="92"/>
      <c r="L77" s="18"/>
      <c r="M77" s="39"/>
      <c r="N77" s="18"/>
      <c r="O77" s="18"/>
      <c r="P77" s="18"/>
      <c r="Q77" s="18"/>
      <c r="S77" s="18"/>
      <c r="AH77" s="1"/>
      <c r="AU77" s="1"/>
      <c r="AV77" s="1"/>
    </row>
    <row r="78" spans="1:48" ht="12" customHeight="1">
      <c r="A78" s="18"/>
      <c r="J78" s="71"/>
      <c r="K78" s="92"/>
      <c r="L78" s="18"/>
      <c r="M78" s="39"/>
      <c r="N78" s="18"/>
      <c r="O78" s="18"/>
      <c r="P78" s="18"/>
      <c r="Q78" s="18"/>
      <c r="S78" s="18"/>
      <c r="AH78" s="1"/>
      <c r="AU78" s="1"/>
      <c r="AV78" s="1"/>
    </row>
    <row r="79" spans="1:48" ht="12" customHeight="1">
      <c r="A79" s="18"/>
      <c r="J79" s="71"/>
      <c r="K79" s="92"/>
      <c r="L79" s="18"/>
      <c r="M79" s="39"/>
      <c r="N79" s="18"/>
      <c r="O79" s="18"/>
      <c r="P79" s="18"/>
      <c r="Q79" s="18"/>
      <c r="S79" s="18"/>
      <c r="AH79" s="1"/>
      <c r="AU79" s="1"/>
      <c r="AV79" s="1"/>
    </row>
    <row r="80" spans="1:48" ht="12" customHeight="1">
      <c r="A80" s="18"/>
      <c r="B80" s="93"/>
      <c r="C80" s="18"/>
      <c r="D80" s="18"/>
      <c r="E80" s="18"/>
      <c r="F80" s="18"/>
      <c r="G80" s="18"/>
      <c r="H80" s="18"/>
      <c r="I80" s="18"/>
      <c r="J80" s="71"/>
      <c r="K80" s="92"/>
      <c r="L80" s="18"/>
      <c r="M80" s="39"/>
      <c r="N80" s="18"/>
      <c r="O80" s="18"/>
      <c r="P80" s="18"/>
      <c r="Q80" s="18"/>
      <c r="S80" s="18"/>
      <c r="AH80" s="1"/>
      <c r="AU80" s="1"/>
      <c r="AV80" s="1"/>
    </row>
    <row r="81" spans="1:48" ht="12" customHeight="1">
      <c r="A81" s="18"/>
      <c r="B81" s="93"/>
      <c r="C81" s="18"/>
      <c r="D81" s="18"/>
      <c r="E81" s="18"/>
      <c r="F81" s="18"/>
      <c r="G81" s="18"/>
      <c r="H81" s="18"/>
      <c r="I81" s="18"/>
      <c r="J81" s="71"/>
      <c r="K81" s="92"/>
      <c r="L81" s="18"/>
      <c r="M81" s="39"/>
      <c r="N81" s="18"/>
      <c r="O81" s="18"/>
      <c r="P81" s="18"/>
      <c r="Q81" s="18"/>
      <c r="S81" s="18"/>
      <c r="AH81" s="1"/>
      <c r="AU81" s="1"/>
      <c r="AV81" s="1"/>
    </row>
    <row r="82" spans="1:48" ht="12" customHeight="1">
      <c r="A82" s="18"/>
      <c r="B82" s="93"/>
      <c r="C82" s="18"/>
      <c r="D82" s="18"/>
      <c r="E82" s="18"/>
      <c r="F82" s="18"/>
      <c r="G82" s="18"/>
      <c r="H82" s="18"/>
      <c r="I82" s="18"/>
      <c r="J82" s="71"/>
      <c r="K82" s="92"/>
      <c r="L82" s="18"/>
      <c r="M82" s="39"/>
      <c r="N82" s="18"/>
      <c r="O82" s="18"/>
      <c r="P82" s="18"/>
      <c r="Q82" s="18"/>
      <c r="S82" s="18"/>
      <c r="AH82" s="1"/>
      <c r="AU82" s="1"/>
      <c r="AV82" s="1"/>
    </row>
    <row r="83" spans="1:48" ht="12" customHeight="1">
      <c r="A83" s="18"/>
      <c r="B83" s="93"/>
      <c r="C83" s="18"/>
      <c r="D83" s="18"/>
      <c r="E83" s="18"/>
      <c r="F83" s="18"/>
      <c r="G83" s="18"/>
      <c r="H83" s="18"/>
      <c r="I83" s="18"/>
      <c r="J83" s="71"/>
      <c r="K83" s="92"/>
      <c r="L83" s="18"/>
      <c r="M83" s="39"/>
      <c r="N83" s="18"/>
      <c r="O83" s="18"/>
      <c r="P83" s="18"/>
      <c r="Q83" s="18"/>
      <c r="S83" s="18"/>
      <c r="AH83" s="1"/>
      <c r="AU83" s="1"/>
      <c r="AV83" s="1"/>
    </row>
    <row r="84" spans="1:48" ht="12" customHeight="1">
      <c r="A84" s="18"/>
      <c r="B84" s="93"/>
      <c r="C84" s="18"/>
      <c r="D84" s="18"/>
      <c r="E84" s="18"/>
      <c r="F84" s="18"/>
      <c r="G84" s="18"/>
      <c r="H84" s="18"/>
      <c r="I84" s="18"/>
      <c r="J84" s="71"/>
      <c r="K84" s="92"/>
      <c r="L84" s="18"/>
      <c r="M84" s="39"/>
      <c r="N84" s="18"/>
      <c r="O84" s="18"/>
      <c r="P84" s="18"/>
      <c r="Q84" s="18"/>
      <c r="S84" s="18"/>
      <c r="AH84" s="1"/>
      <c r="AU84" s="1"/>
      <c r="AV84" s="1"/>
    </row>
    <row r="85" spans="1:48" ht="12" customHeight="1">
      <c r="A85" s="18"/>
      <c r="B85" s="93"/>
      <c r="C85" s="18"/>
      <c r="D85" s="26"/>
      <c r="E85" s="18"/>
      <c r="F85" s="18"/>
      <c r="G85" s="18"/>
      <c r="H85" s="18"/>
      <c r="I85" s="18"/>
      <c r="J85" s="71"/>
      <c r="K85" s="92"/>
      <c r="L85" s="18"/>
      <c r="M85" s="39"/>
      <c r="N85" s="18"/>
      <c r="O85" s="18"/>
      <c r="P85" s="18"/>
      <c r="Q85" s="18"/>
      <c r="S85" s="18"/>
      <c r="AH85" s="1"/>
      <c r="AU85" s="1"/>
      <c r="AV85" s="1"/>
    </row>
    <row r="86" spans="1:48" ht="12" customHeight="1">
      <c r="A86" s="18"/>
      <c r="B86" s="93"/>
      <c r="C86" s="18"/>
      <c r="D86" s="26"/>
      <c r="E86" s="18"/>
      <c r="F86" s="18"/>
      <c r="G86" s="18"/>
      <c r="H86" s="18"/>
      <c r="I86" s="18"/>
      <c r="J86" s="71"/>
      <c r="K86" s="92"/>
      <c r="L86" s="18"/>
      <c r="M86" s="39"/>
      <c r="N86" s="18"/>
      <c r="O86" s="18"/>
      <c r="P86" s="18"/>
      <c r="Q86" s="18"/>
      <c r="S86" s="18"/>
      <c r="AH86" s="1"/>
      <c r="AU86" s="1"/>
      <c r="AV86" s="1"/>
    </row>
    <row r="87" spans="1:48" ht="12" customHeight="1">
      <c r="A87" s="18"/>
      <c r="B87" s="93"/>
      <c r="C87" s="18"/>
      <c r="D87" s="26"/>
      <c r="E87" s="18"/>
      <c r="F87" s="18"/>
      <c r="G87" s="18"/>
      <c r="H87" s="18"/>
      <c r="I87" s="18"/>
      <c r="J87" s="71"/>
      <c r="K87" s="92"/>
      <c r="L87" s="18"/>
      <c r="M87" s="39"/>
      <c r="N87" s="18"/>
      <c r="O87" s="18"/>
      <c r="P87" s="18"/>
      <c r="Q87" s="18"/>
      <c r="S87" s="18"/>
      <c r="AH87" s="1"/>
      <c r="AU87" s="1"/>
      <c r="AV87" s="1"/>
    </row>
    <row r="88" spans="1:48" ht="12" customHeight="1">
      <c r="A88" s="18"/>
      <c r="B88" s="93"/>
      <c r="C88" s="18"/>
      <c r="D88" s="18"/>
      <c r="E88" s="18"/>
      <c r="F88" s="18"/>
      <c r="G88" s="18"/>
      <c r="H88" s="18"/>
      <c r="I88" s="18"/>
      <c r="J88" s="71"/>
      <c r="K88" s="92"/>
      <c r="L88" s="18"/>
      <c r="M88" s="39"/>
      <c r="N88" s="18"/>
      <c r="O88" s="18"/>
      <c r="P88" s="18"/>
      <c r="Q88" s="18"/>
      <c r="S88" s="18"/>
      <c r="AH88" s="1"/>
      <c r="AU88" s="1"/>
      <c r="AV88" s="1"/>
    </row>
    <row r="89" spans="1:48" ht="12" customHeight="1">
      <c r="A89" s="18"/>
      <c r="B89" s="93"/>
      <c r="C89" s="18"/>
      <c r="D89" s="18"/>
      <c r="E89" s="18"/>
      <c r="F89" s="18"/>
      <c r="G89" s="18"/>
      <c r="H89" s="18"/>
      <c r="I89" s="18"/>
      <c r="J89" s="71"/>
      <c r="K89" s="92"/>
      <c r="L89" s="18"/>
      <c r="M89" s="39"/>
      <c r="N89" s="18"/>
      <c r="O89" s="18"/>
      <c r="P89" s="18"/>
      <c r="Q89" s="18"/>
      <c r="S89" s="18"/>
      <c r="AH89" s="1"/>
      <c r="AU89" s="1"/>
      <c r="AV89" s="1"/>
    </row>
    <row r="90" spans="1:48" ht="12" customHeight="1">
      <c r="A90" s="18"/>
      <c r="B90" s="93"/>
      <c r="C90" s="18"/>
      <c r="D90" s="18"/>
      <c r="E90" s="18"/>
      <c r="F90" s="18"/>
      <c r="G90" s="18"/>
      <c r="H90" s="18"/>
      <c r="I90" s="18"/>
      <c r="J90" s="71"/>
      <c r="K90" s="92"/>
      <c r="L90" s="18"/>
      <c r="M90" s="39"/>
      <c r="N90" s="18"/>
      <c r="O90" s="18"/>
      <c r="P90" s="18"/>
      <c r="Q90" s="18"/>
      <c r="S90" s="18"/>
      <c r="AH90" s="1"/>
      <c r="AU90" s="1"/>
      <c r="AV90" s="1"/>
    </row>
    <row r="91" spans="1:48" ht="12" customHeight="1">
      <c r="A91" s="18"/>
      <c r="B91" s="93"/>
      <c r="C91" s="18"/>
      <c r="D91" s="18"/>
      <c r="E91" s="18"/>
      <c r="F91" s="18"/>
      <c r="G91" s="18"/>
      <c r="H91" s="18"/>
      <c r="I91" s="18"/>
      <c r="J91" s="71"/>
      <c r="K91" s="92"/>
      <c r="L91" s="18"/>
      <c r="M91" s="39"/>
      <c r="N91" s="18"/>
      <c r="O91" s="18"/>
      <c r="P91" s="18"/>
      <c r="Q91" s="18"/>
      <c r="S91" s="18"/>
      <c r="AH91" s="1"/>
      <c r="AU91" s="1"/>
      <c r="AV91" s="1"/>
    </row>
    <row r="92" spans="1:48" ht="12" customHeight="1">
      <c r="A92" s="18"/>
      <c r="B92" s="93"/>
      <c r="C92" s="18"/>
      <c r="D92" s="18"/>
      <c r="E92" s="18"/>
      <c r="F92" s="18"/>
      <c r="G92" s="18"/>
      <c r="H92" s="18"/>
      <c r="I92" s="18"/>
      <c r="J92" s="71"/>
      <c r="K92" s="92"/>
      <c r="L92" s="18"/>
      <c r="M92" s="39"/>
      <c r="N92" s="18"/>
      <c r="O92" s="18"/>
      <c r="P92" s="18"/>
      <c r="Q92" s="18"/>
      <c r="S92" s="18"/>
      <c r="AH92" s="1"/>
      <c r="AU92" s="1"/>
      <c r="AV92" s="1"/>
    </row>
    <row r="93" spans="1:48" ht="12" customHeight="1">
      <c r="A93" s="18"/>
      <c r="B93" s="93"/>
      <c r="C93" s="18"/>
      <c r="D93" s="18"/>
      <c r="E93" s="18"/>
      <c r="F93" s="18"/>
      <c r="G93" s="18"/>
      <c r="H93" s="18"/>
      <c r="I93" s="18"/>
      <c r="J93" s="71"/>
      <c r="K93" s="92"/>
      <c r="L93" s="18"/>
      <c r="M93" s="39"/>
      <c r="N93" s="18"/>
      <c r="O93" s="18"/>
      <c r="P93" s="18"/>
      <c r="Q93" s="18"/>
      <c r="S93" s="18"/>
      <c r="AH93" s="1"/>
      <c r="AU93" s="1"/>
      <c r="AV93" s="1"/>
    </row>
    <row r="94" spans="1:48" ht="12" customHeight="1">
      <c r="A94" s="18"/>
      <c r="B94" s="93"/>
      <c r="C94" s="18"/>
      <c r="D94" s="18"/>
      <c r="E94" s="18"/>
      <c r="F94" s="18"/>
      <c r="G94" s="18"/>
      <c r="H94" s="18"/>
      <c r="I94" s="18"/>
      <c r="J94" s="71"/>
      <c r="K94" s="92"/>
      <c r="L94" s="18"/>
      <c r="M94" s="39"/>
      <c r="N94" s="18"/>
      <c r="O94" s="18"/>
      <c r="P94" s="18"/>
      <c r="Q94" s="18"/>
      <c r="S94" s="18"/>
      <c r="AH94" s="1"/>
      <c r="AU94" s="1"/>
      <c r="AV94" s="1"/>
    </row>
    <row r="95" spans="1:48" ht="12" customHeight="1">
      <c r="A95" s="18"/>
      <c r="B95" s="93"/>
      <c r="C95" s="18"/>
      <c r="D95" s="18"/>
      <c r="E95" s="18"/>
      <c r="F95" s="18"/>
      <c r="G95" s="18"/>
      <c r="H95" s="18"/>
      <c r="I95" s="18"/>
      <c r="J95" s="71"/>
      <c r="K95" s="92"/>
      <c r="L95" s="18"/>
      <c r="M95" s="39"/>
      <c r="N95" s="18"/>
      <c r="O95" s="18"/>
      <c r="P95" s="18"/>
      <c r="Q95" s="18"/>
      <c r="S95" s="18"/>
      <c r="AH95" s="1"/>
      <c r="AU95" s="1"/>
      <c r="AV95" s="1"/>
    </row>
    <row r="96" spans="1:48" ht="12" customHeight="1">
      <c r="A96" s="18"/>
      <c r="B96" s="93"/>
      <c r="C96" s="18"/>
      <c r="D96" s="18"/>
      <c r="E96" s="18"/>
      <c r="F96" s="18"/>
      <c r="G96" s="18"/>
      <c r="H96" s="18"/>
      <c r="I96" s="18"/>
      <c r="J96" s="71"/>
      <c r="K96" s="92"/>
      <c r="L96" s="18"/>
      <c r="M96" s="39"/>
      <c r="N96" s="18"/>
      <c r="O96" s="18"/>
      <c r="P96" s="18"/>
      <c r="Q96" s="18"/>
      <c r="S96" s="18"/>
      <c r="AH96" s="1"/>
      <c r="AU96" s="1"/>
      <c r="AV96" s="1"/>
    </row>
    <row r="97" spans="1:48" ht="12" customHeight="1">
      <c r="A97" s="18"/>
      <c r="B97" s="93"/>
      <c r="C97" s="18"/>
      <c r="D97" s="18"/>
      <c r="E97" s="18"/>
      <c r="F97" s="18"/>
      <c r="G97" s="18"/>
      <c r="H97" s="18"/>
      <c r="I97" s="18"/>
      <c r="J97" s="71"/>
      <c r="K97" s="92"/>
      <c r="L97" s="18"/>
      <c r="M97" s="39"/>
      <c r="N97" s="18"/>
      <c r="O97" s="18"/>
      <c r="P97" s="18"/>
      <c r="Q97" s="18"/>
      <c r="S97" s="18"/>
      <c r="AH97" s="1"/>
      <c r="AU97" s="1"/>
      <c r="AV97" s="1"/>
    </row>
    <row r="98" spans="1:48" ht="12" customHeight="1">
      <c r="A98" s="18"/>
      <c r="B98" s="93"/>
      <c r="C98" s="18"/>
      <c r="D98" s="18"/>
      <c r="E98" s="18"/>
      <c r="F98" s="18"/>
      <c r="G98" s="18"/>
      <c r="H98" s="18"/>
      <c r="I98" s="18"/>
      <c r="J98" s="71"/>
      <c r="K98" s="92"/>
      <c r="L98" s="18"/>
      <c r="M98" s="39"/>
      <c r="N98" s="18"/>
      <c r="O98" s="18"/>
      <c r="P98" s="18"/>
      <c r="Q98" s="18"/>
      <c r="S98" s="18"/>
      <c r="AH98" s="1"/>
      <c r="AU98" s="1"/>
      <c r="AV98" s="1"/>
    </row>
    <row r="99" spans="1:48">
      <c r="A99" s="18"/>
      <c r="B99" s="93"/>
      <c r="C99" s="18"/>
      <c r="D99" s="18"/>
      <c r="E99" s="18"/>
      <c r="F99" s="18"/>
      <c r="G99" s="18"/>
      <c r="H99" s="18"/>
      <c r="I99" s="18"/>
      <c r="J99" s="71"/>
      <c r="K99" s="92"/>
      <c r="L99" s="18"/>
      <c r="M99" s="39"/>
      <c r="N99" s="18"/>
      <c r="O99" s="18"/>
      <c r="P99" s="18"/>
      <c r="Q99" s="18"/>
      <c r="S99" s="18"/>
      <c r="AH99" s="1"/>
      <c r="AU99" s="1"/>
      <c r="AV99" s="1"/>
    </row>
    <row r="100" spans="1:48" ht="12" customHeight="1">
      <c r="A100" s="18"/>
      <c r="B100" s="93"/>
      <c r="C100" s="18"/>
      <c r="D100" s="18"/>
      <c r="E100" s="18"/>
      <c r="F100" s="18"/>
      <c r="G100" s="18"/>
      <c r="H100" s="18"/>
      <c r="I100" s="18"/>
      <c r="J100" s="71"/>
      <c r="K100" s="92"/>
      <c r="L100" s="18"/>
      <c r="M100" s="39"/>
      <c r="N100" s="18"/>
      <c r="O100" s="18"/>
      <c r="P100" s="18"/>
      <c r="Q100" s="18"/>
      <c r="S100" s="18"/>
      <c r="AH100" s="1"/>
      <c r="AU100" s="1"/>
      <c r="AV100" s="1"/>
    </row>
    <row r="101" spans="1:48" ht="12" customHeight="1">
      <c r="A101" s="18"/>
      <c r="B101" s="93"/>
      <c r="C101" s="18"/>
      <c r="D101" s="18"/>
      <c r="E101" s="18"/>
      <c r="F101" s="18"/>
      <c r="G101" s="18"/>
      <c r="H101" s="18"/>
      <c r="I101" s="18"/>
      <c r="J101" s="71"/>
      <c r="K101" s="92"/>
      <c r="L101" s="18"/>
      <c r="M101" s="39"/>
      <c r="N101" s="18"/>
      <c r="O101" s="18"/>
      <c r="P101" s="18"/>
      <c r="Q101" s="18"/>
      <c r="S101" s="18"/>
      <c r="AH101" s="1"/>
      <c r="AU101" s="1"/>
      <c r="AV101" s="1"/>
    </row>
    <row r="102" spans="1:48" ht="12" customHeight="1">
      <c r="A102" s="18"/>
      <c r="B102" s="93"/>
      <c r="C102" s="18"/>
      <c r="D102" s="18"/>
      <c r="E102" s="18"/>
      <c r="F102" s="18"/>
      <c r="G102" s="18"/>
      <c r="H102" s="18"/>
      <c r="I102" s="18"/>
      <c r="J102" s="71"/>
      <c r="K102" s="92"/>
      <c r="L102" s="18"/>
      <c r="M102" s="39"/>
      <c r="N102" s="18"/>
      <c r="O102" s="18"/>
      <c r="P102" s="18"/>
      <c r="Q102" s="18"/>
      <c r="S102" s="18"/>
      <c r="AH102" s="1"/>
      <c r="AU102" s="1"/>
      <c r="AV102" s="1"/>
    </row>
    <row r="103" spans="1:48" ht="12" customHeight="1">
      <c r="A103" s="18"/>
      <c r="B103" s="93"/>
      <c r="C103" s="18"/>
      <c r="D103" s="18"/>
      <c r="E103" s="18"/>
      <c r="F103" s="18"/>
      <c r="G103" s="18"/>
      <c r="H103" s="18"/>
      <c r="I103" s="18"/>
      <c r="J103" s="71"/>
      <c r="K103" s="92"/>
      <c r="L103" s="18"/>
      <c r="M103" s="39"/>
      <c r="N103" s="18"/>
      <c r="O103" s="18"/>
      <c r="P103" s="18"/>
      <c r="Q103" s="18"/>
      <c r="S103" s="18"/>
      <c r="AH103" s="1"/>
      <c r="AU103" s="1"/>
      <c r="AV103" s="1"/>
    </row>
    <row r="104" spans="1:48" ht="12" customHeight="1">
      <c r="A104" s="18"/>
      <c r="B104" s="93"/>
      <c r="C104" s="18"/>
      <c r="D104" s="18"/>
      <c r="E104" s="18"/>
      <c r="F104" s="18"/>
      <c r="G104" s="18"/>
      <c r="H104" s="18"/>
      <c r="I104" s="18"/>
      <c r="J104" s="71"/>
      <c r="K104" s="92"/>
      <c r="L104" s="18"/>
      <c r="M104" s="39"/>
      <c r="N104" s="18"/>
      <c r="O104" s="18"/>
      <c r="P104" s="18"/>
      <c r="Q104" s="18"/>
      <c r="S104" s="18"/>
      <c r="AH104" s="1"/>
      <c r="AU104" s="1"/>
      <c r="AV104" s="1"/>
    </row>
    <row r="105" spans="1:48" ht="12" customHeight="1">
      <c r="A105" s="18"/>
      <c r="B105" s="93"/>
      <c r="C105" s="18"/>
      <c r="D105" s="18"/>
      <c r="E105" s="18"/>
      <c r="F105" s="18"/>
      <c r="G105" s="18"/>
      <c r="H105" s="18"/>
      <c r="I105" s="18"/>
      <c r="J105" s="71"/>
      <c r="K105" s="92"/>
      <c r="L105" s="18"/>
      <c r="M105" s="39"/>
      <c r="N105" s="18"/>
      <c r="O105" s="18"/>
      <c r="P105" s="18"/>
      <c r="Q105" s="18"/>
      <c r="S105" s="18"/>
      <c r="AH105" s="1"/>
      <c r="AU105" s="1"/>
      <c r="AV105" s="1"/>
    </row>
    <row r="106" spans="1:48" ht="12" customHeight="1">
      <c r="A106" s="18"/>
      <c r="B106" s="93"/>
      <c r="C106" s="18"/>
      <c r="D106" s="18"/>
      <c r="E106" s="18"/>
      <c r="F106" s="18"/>
      <c r="G106" s="18"/>
      <c r="H106" s="18"/>
      <c r="I106" s="18"/>
      <c r="J106" s="71"/>
      <c r="K106" s="92"/>
      <c r="L106" s="18"/>
      <c r="M106" s="39"/>
      <c r="N106" s="18"/>
      <c r="O106" s="18"/>
      <c r="P106" s="18"/>
      <c r="Q106" s="18"/>
      <c r="S106" s="18"/>
      <c r="AH106" s="1"/>
      <c r="AU106" s="1"/>
      <c r="AV106" s="1"/>
    </row>
    <row r="107" spans="1:48" ht="12" customHeight="1">
      <c r="A107" s="18"/>
      <c r="B107" s="93"/>
      <c r="C107" s="18"/>
      <c r="D107" s="18"/>
      <c r="E107" s="18"/>
      <c r="F107" s="18"/>
      <c r="G107" s="18"/>
      <c r="H107" s="18"/>
      <c r="I107" s="18"/>
      <c r="J107" s="71"/>
      <c r="K107" s="92"/>
      <c r="L107" s="18"/>
      <c r="M107" s="39"/>
      <c r="N107" s="18"/>
      <c r="O107" s="18"/>
      <c r="P107" s="18"/>
      <c r="Q107" s="18"/>
      <c r="S107" s="18"/>
      <c r="AH107" s="1"/>
      <c r="AU107" s="1"/>
      <c r="AV107" s="1"/>
    </row>
    <row r="108" spans="1:48" ht="12" customHeight="1">
      <c r="A108" s="18"/>
      <c r="B108" s="93"/>
      <c r="C108" s="18"/>
      <c r="D108" s="18"/>
      <c r="E108" s="18"/>
      <c r="F108" s="18"/>
      <c r="G108" s="18"/>
      <c r="H108" s="18"/>
      <c r="I108" s="18"/>
      <c r="J108" s="71"/>
      <c r="K108" s="92"/>
      <c r="L108" s="18"/>
      <c r="M108" s="39"/>
      <c r="N108" s="18"/>
      <c r="O108" s="18"/>
      <c r="P108" s="18"/>
      <c r="Q108" s="18"/>
      <c r="S108" s="18"/>
      <c r="AH108" s="1"/>
      <c r="AU108" s="1"/>
      <c r="AV108" s="1"/>
    </row>
    <row r="109" spans="1:48" ht="12" customHeight="1">
      <c r="A109" s="18"/>
      <c r="B109" s="93"/>
      <c r="C109" s="18"/>
      <c r="D109" s="18"/>
      <c r="E109" s="18"/>
      <c r="F109" s="18"/>
      <c r="G109" s="18"/>
      <c r="H109" s="18"/>
      <c r="I109" s="18"/>
      <c r="J109" s="71"/>
      <c r="K109" s="92"/>
      <c r="L109" s="18"/>
      <c r="M109" s="39"/>
      <c r="N109" s="18"/>
      <c r="O109" s="18"/>
      <c r="P109" s="18"/>
      <c r="Q109" s="18"/>
      <c r="S109" s="18"/>
      <c r="AH109" s="1"/>
      <c r="AU109" s="1"/>
      <c r="AV109" s="1"/>
    </row>
    <row r="110" spans="1:48" ht="12" customHeight="1">
      <c r="A110" s="18"/>
      <c r="B110" s="93"/>
      <c r="C110" s="18"/>
      <c r="D110" s="18"/>
      <c r="E110" s="18"/>
      <c r="F110" s="18"/>
      <c r="G110" s="18"/>
      <c r="H110" s="18"/>
      <c r="I110" s="18"/>
      <c r="J110" s="71"/>
      <c r="K110" s="92"/>
      <c r="L110" s="18"/>
      <c r="M110" s="39"/>
      <c r="N110" s="18"/>
      <c r="O110" s="18"/>
      <c r="P110" s="18"/>
      <c r="Q110" s="18"/>
      <c r="S110" s="18"/>
      <c r="AH110" s="1"/>
      <c r="AU110" s="1"/>
      <c r="AV110" s="1"/>
    </row>
    <row r="111" spans="1:48" ht="12" customHeight="1">
      <c r="A111" s="18"/>
      <c r="B111" s="93"/>
      <c r="C111" s="18"/>
      <c r="D111" s="18"/>
      <c r="E111" s="18"/>
      <c r="F111" s="18"/>
      <c r="G111" s="18"/>
      <c r="H111" s="18"/>
      <c r="I111" s="18"/>
      <c r="J111" s="71"/>
      <c r="K111" s="92"/>
      <c r="L111" s="18"/>
      <c r="M111" s="39"/>
      <c r="N111" s="18"/>
      <c r="O111" s="18"/>
      <c r="P111" s="18"/>
      <c r="Q111" s="18"/>
      <c r="S111" s="18"/>
      <c r="AH111" s="1"/>
      <c r="AU111" s="1"/>
      <c r="AV111" s="1"/>
    </row>
    <row r="112" spans="1:48" ht="12" customHeight="1">
      <c r="A112" s="18"/>
      <c r="B112" s="93"/>
      <c r="C112" s="18"/>
      <c r="D112" s="18"/>
      <c r="E112" s="18"/>
      <c r="F112" s="18"/>
      <c r="G112" s="18"/>
      <c r="H112" s="18"/>
      <c r="I112" s="18"/>
      <c r="J112" s="71"/>
      <c r="K112" s="92"/>
      <c r="L112" s="18"/>
      <c r="M112" s="39"/>
      <c r="N112" s="18"/>
      <c r="O112" s="18"/>
      <c r="P112" s="18"/>
      <c r="Q112" s="18"/>
      <c r="S112" s="18"/>
      <c r="AH112" s="1"/>
      <c r="AU112" s="1"/>
      <c r="AV112" s="1"/>
    </row>
    <row r="113" spans="1:48" ht="12" customHeight="1">
      <c r="A113" s="18"/>
      <c r="B113" s="93"/>
      <c r="C113" s="18"/>
      <c r="D113" s="18"/>
      <c r="E113" s="18"/>
      <c r="F113" s="18"/>
      <c r="G113" s="18"/>
      <c r="H113" s="18"/>
      <c r="I113" s="18"/>
      <c r="J113" s="71"/>
      <c r="K113" s="92"/>
      <c r="L113" s="18"/>
      <c r="M113" s="39"/>
      <c r="N113" s="18"/>
      <c r="O113" s="18"/>
      <c r="P113" s="18"/>
      <c r="Q113" s="18"/>
      <c r="S113" s="18"/>
      <c r="AH113" s="1"/>
      <c r="AU113" s="1"/>
      <c r="AV113" s="1"/>
    </row>
    <row r="114" spans="1:48" ht="12" customHeight="1">
      <c r="A114" s="18"/>
      <c r="B114" s="93"/>
      <c r="C114" s="18"/>
      <c r="D114" s="18"/>
      <c r="E114" s="18"/>
      <c r="F114" s="18"/>
      <c r="G114" s="18"/>
      <c r="H114" s="18"/>
      <c r="I114" s="18"/>
      <c r="J114" s="71"/>
      <c r="K114" s="92"/>
      <c r="L114" s="18"/>
      <c r="M114" s="39"/>
      <c r="N114" s="18"/>
      <c r="O114" s="18"/>
      <c r="P114" s="18"/>
      <c r="Q114" s="18"/>
      <c r="S114" s="18"/>
      <c r="AH114" s="1"/>
      <c r="AU114" s="1"/>
      <c r="AV114" s="1"/>
    </row>
    <row r="115" spans="1:48" ht="12" customHeight="1">
      <c r="A115" s="18"/>
      <c r="B115" s="93"/>
      <c r="C115" s="18"/>
      <c r="D115" s="18"/>
      <c r="E115" s="18"/>
      <c r="F115" s="18"/>
      <c r="G115" s="18"/>
      <c r="H115" s="18"/>
      <c r="I115" s="18"/>
      <c r="J115" s="71"/>
      <c r="K115" s="92"/>
      <c r="L115" s="18"/>
      <c r="M115" s="39"/>
      <c r="N115" s="18"/>
      <c r="O115" s="18"/>
      <c r="P115" s="18"/>
      <c r="Q115" s="18"/>
      <c r="S115" s="18"/>
      <c r="AH115" s="1"/>
      <c r="AU115" s="1"/>
      <c r="AV115" s="1"/>
    </row>
    <row r="116" spans="1:48" ht="12" customHeight="1">
      <c r="A116" s="18"/>
      <c r="B116" s="93"/>
      <c r="C116" s="18"/>
      <c r="D116" s="18"/>
      <c r="E116" s="18"/>
      <c r="F116" s="18"/>
      <c r="G116" s="18"/>
      <c r="H116" s="18"/>
      <c r="I116" s="18"/>
      <c r="J116" s="71"/>
      <c r="K116" s="92"/>
      <c r="L116" s="18"/>
      <c r="M116" s="39"/>
      <c r="N116" s="18"/>
      <c r="O116" s="18"/>
      <c r="P116" s="18"/>
      <c r="Q116" s="18"/>
      <c r="S116" s="18"/>
      <c r="AH116" s="1"/>
      <c r="AU116" s="1"/>
      <c r="AV116" s="1"/>
    </row>
    <row r="117" spans="1:48" ht="12" customHeight="1">
      <c r="A117" s="18"/>
      <c r="B117" s="93"/>
      <c r="C117" s="18"/>
      <c r="D117" s="18"/>
      <c r="E117" s="18"/>
      <c r="F117" s="18"/>
      <c r="G117" s="18"/>
      <c r="H117" s="18"/>
      <c r="I117" s="18"/>
      <c r="J117" s="71"/>
      <c r="K117" s="92"/>
      <c r="L117" s="18"/>
      <c r="M117" s="39"/>
      <c r="N117" s="18"/>
      <c r="O117" s="18"/>
      <c r="P117" s="18"/>
      <c r="Q117" s="18"/>
      <c r="S117" s="18"/>
      <c r="AH117" s="1"/>
      <c r="AU117" s="1"/>
      <c r="AV117" s="1"/>
    </row>
    <row r="118" spans="1:48" ht="12" customHeight="1">
      <c r="A118" s="18"/>
      <c r="B118" s="93"/>
      <c r="C118" s="18"/>
      <c r="D118" s="18"/>
      <c r="E118" s="18"/>
      <c r="F118" s="18"/>
      <c r="G118" s="18"/>
      <c r="H118" s="18"/>
      <c r="I118" s="18"/>
      <c r="J118" s="71"/>
      <c r="K118" s="92"/>
      <c r="L118" s="18"/>
      <c r="M118" s="39"/>
      <c r="N118" s="18"/>
      <c r="O118" s="18"/>
      <c r="P118" s="18"/>
      <c r="Q118" s="18"/>
      <c r="S118" s="18"/>
      <c r="AH118" s="1"/>
      <c r="AU118" s="1"/>
      <c r="AV118" s="1"/>
    </row>
    <row r="119" spans="1:48" ht="12" customHeight="1">
      <c r="A119" s="18"/>
      <c r="B119" s="93"/>
      <c r="C119" s="18"/>
      <c r="D119" s="18"/>
      <c r="E119" s="18"/>
      <c r="F119" s="18"/>
      <c r="G119" s="18"/>
      <c r="H119" s="18"/>
      <c r="I119" s="18"/>
      <c r="J119" s="71"/>
      <c r="K119" s="92"/>
      <c r="L119" s="18"/>
      <c r="M119" s="39"/>
      <c r="N119" s="18"/>
      <c r="O119" s="18"/>
      <c r="P119" s="18"/>
      <c r="Q119" s="18"/>
      <c r="S119" s="18"/>
      <c r="AH119" s="1"/>
      <c r="AU119" s="1"/>
      <c r="AV119" s="1"/>
    </row>
    <row r="120" spans="1:48" ht="12" customHeight="1">
      <c r="A120" s="18"/>
      <c r="B120" s="93"/>
      <c r="C120" s="18"/>
      <c r="D120" s="18"/>
      <c r="E120" s="18"/>
      <c r="F120" s="18"/>
      <c r="G120" s="18"/>
      <c r="H120" s="18"/>
      <c r="I120" s="18"/>
      <c r="J120" s="71"/>
      <c r="K120" s="92"/>
      <c r="L120" s="18"/>
      <c r="M120" s="39"/>
      <c r="N120" s="18"/>
      <c r="O120" s="18"/>
      <c r="P120" s="18"/>
      <c r="Q120" s="18"/>
      <c r="S120" s="18"/>
      <c r="AH120" s="1"/>
      <c r="AU120" s="1"/>
      <c r="AV120" s="1"/>
    </row>
    <row r="121" spans="1:48" ht="12" customHeight="1">
      <c r="A121" s="18"/>
      <c r="B121" s="93"/>
      <c r="C121" s="18"/>
      <c r="D121" s="18"/>
      <c r="E121" s="18"/>
      <c r="F121" s="18"/>
      <c r="G121" s="18"/>
      <c r="H121" s="18"/>
      <c r="I121" s="18"/>
      <c r="J121" s="71"/>
      <c r="K121" s="92"/>
      <c r="L121" s="18"/>
      <c r="M121" s="39"/>
      <c r="N121" s="18"/>
      <c r="O121" s="18"/>
      <c r="P121" s="18"/>
      <c r="Q121" s="18"/>
      <c r="S121" s="18"/>
      <c r="AH121" s="1"/>
      <c r="AU121" s="1"/>
      <c r="AV121" s="1"/>
    </row>
    <row r="122" spans="1:48" ht="12" customHeight="1">
      <c r="A122" s="18"/>
      <c r="B122" s="93"/>
      <c r="C122" s="18"/>
      <c r="D122" s="18"/>
      <c r="E122" s="18"/>
      <c r="F122" s="18"/>
      <c r="G122" s="18"/>
      <c r="H122" s="18"/>
      <c r="I122" s="18"/>
      <c r="J122" s="71"/>
      <c r="K122" s="92"/>
      <c r="L122" s="18"/>
      <c r="M122" s="39"/>
      <c r="N122" s="18"/>
      <c r="O122" s="18"/>
      <c r="P122" s="18"/>
      <c r="Q122" s="18"/>
      <c r="S122" s="18"/>
      <c r="AH122" s="1"/>
      <c r="AU122" s="1"/>
      <c r="AV122" s="1"/>
    </row>
    <row r="123" spans="1:48" ht="12" customHeight="1">
      <c r="A123" s="18"/>
      <c r="B123" s="93"/>
      <c r="C123" s="18"/>
      <c r="D123" s="18"/>
      <c r="E123" s="18"/>
      <c r="F123" s="18"/>
      <c r="G123" s="18"/>
      <c r="H123" s="18"/>
      <c r="I123" s="18"/>
      <c r="J123" s="71"/>
      <c r="K123" s="92"/>
      <c r="L123" s="18"/>
      <c r="M123" s="39"/>
      <c r="N123" s="18"/>
      <c r="O123" s="18"/>
      <c r="P123" s="18"/>
      <c r="Q123" s="18"/>
      <c r="S123" s="18"/>
      <c r="AH123" s="1"/>
      <c r="AU123" s="1"/>
      <c r="AV123" s="1"/>
    </row>
    <row r="124" spans="1:48" ht="12" customHeight="1">
      <c r="A124" s="18"/>
      <c r="B124" s="93"/>
      <c r="C124" s="18"/>
      <c r="D124" s="18"/>
      <c r="E124" s="18"/>
      <c r="F124" s="18"/>
      <c r="G124" s="18"/>
      <c r="H124" s="18"/>
      <c r="I124" s="18"/>
      <c r="J124" s="71"/>
      <c r="K124" s="92"/>
      <c r="L124" s="18"/>
      <c r="M124" s="39"/>
      <c r="N124" s="18"/>
      <c r="O124" s="18"/>
      <c r="P124" s="18"/>
      <c r="Q124" s="18"/>
      <c r="S124" s="18"/>
      <c r="AH124" s="1"/>
      <c r="AU124" s="1"/>
      <c r="AV124" s="1"/>
    </row>
    <row r="125" spans="1:48" ht="12" customHeight="1">
      <c r="A125" s="18"/>
      <c r="B125" s="93"/>
      <c r="C125" s="18"/>
      <c r="D125" s="18"/>
      <c r="E125" s="18"/>
      <c r="F125" s="18"/>
      <c r="G125" s="18"/>
      <c r="H125" s="18"/>
      <c r="I125" s="18"/>
      <c r="J125" s="71"/>
      <c r="K125" s="92"/>
      <c r="L125" s="18"/>
      <c r="M125" s="39"/>
      <c r="N125" s="18"/>
      <c r="O125" s="18"/>
      <c r="P125" s="18"/>
      <c r="Q125" s="18"/>
      <c r="S125" s="18"/>
      <c r="AH125" s="1"/>
      <c r="AU125" s="1"/>
      <c r="AV125" s="1"/>
    </row>
    <row r="126" spans="1:48" ht="12" customHeight="1">
      <c r="A126" s="18"/>
      <c r="B126" s="93"/>
      <c r="C126" s="18"/>
      <c r="D126" s="18"/>
      <c r="E126" s="18"/>
      <c r="F126" s="18"/>
      <c r="G126" s="18"/>
      <c r="H126" s="18"/>
      <c r="I126" s="18"/>
      <c r="J126" s="71"/>
      <c r="K126" s="92"/>
      <c r="L126" s="18"/>
      <c r="M126" s="39"/>
      <c r="N126" s="18"/>
      <c r="O126" s="18"/>
      <c r="P126" s="18"/>
      <c r="Q126" s="18"/>
      <c r="S126" s="18"/>
      <c r="AH126" s="1"/>
      <c r="AU126" s="1"/>
      <c r="AV126" s="1"/>
    </row>
    <row r="127" spans="1:48" ht="12" customHeight="1">
      <c r="A127" s="18"/>
      <c r="B127" s="93"/>
      <c r="C127" s="18"/>
      <c r="D127" s="18"/>
      <c r="E127" s="18"/>
      <c r="F127" s="18"/>
      <c r="G127" s="18"/>
      <c r="H127" s="18"/>
      <c r="I127" s="18"/>
      <c r="J127" s="71"/>
      <c r="K127" s="92"/>
      <c r="L127" s="18"/>
      <c r="M127" s="39"/>
      <c r="N127" s="18"/>
      <c r="O127" s="18"/>
      <c r="P127" s="18"/>
      <c r="Q127" s="18"/>
      <c r="S127" s="18"/>
      <c r="AH127" s="1"/>
      <c r="AU127" s="1"/>
      <c r="AV127" s="1"/>
    </row>
    <row r="128" spans="1:48" ht="12" customHeight="1">
      <c r="A128" s="18"/>
      <c r="B128" s="93"/>
      <c r="C128" s="18"/>
      <c r="D128" s="18"/>
      <c r="E128" s="18"/>
      <c r="F128" s="18"/>
      <c r="G128" s="18"/>
      <c r="H128" s="18"/>
      <c r="I128" s="18"/>
      <c r="J128" s="71"/>
      <c r="K128" s="92"/>
      <c r="L128" s="18"/>
      <c r="M128" s="39"/>
      <c r="N128" s="18"/>
      <c r="O128" s="18"/>
      <c r="P128" s="18"/>
      <c r="Q128" s="18"/>
      <c r="S128" s="18"/>
      <c r="AH128" s="1"/>
      <c r="AU128" s="1"/>
      <c r="AV128" s="1"/>
    </row>
    <row r="129" spans="1:48" ht="12" customHeight="1">
      <c r="A129" s="18"/>
      <c r="B129" s="93"/>
      <c r="C129" s="18"/>
      <c r="D129" s="18"/>
      <c r="E129" s="18"/>
      <c r="F129" s="18"/>
      <c r="G129" s="18"/>
      <c r="H129" s="18"/>
      <c r="I129" s="18"/>
      <c r="J129" s="71"/>
      <c r="K129" s="92"/>
      <c r="L129" s="18"/>
      <c r="M129" s="39"/>
      <c r="N129" s="18"/>
      <c r="O129" s="18"/>
      <c r="P129" s="18"/>
      <c r="Q129" s="18"/>
      <c r="S129" s="18"/>
      <c r="AH129" s="1"/>
      <c r="AU129" s="1"/>
      <c r="AV129" s="1"/>
    </row>
    <row r="130" spans="1:48" ht="12" customHeight="1">
      <c r="A130" s="18"/>
      <c r="B130" s="93"/>
      <c r="C130" s="18"/>
      <c r="D130" s="18"/>
      <c r="E130" s="18"/>
      <c r="F130" s="18"/>
      <c r="G130" s="18"/>
      <c r="H130" s="18"/>
      <c r="I130" s="18"/>
      <c r="J130" s="71"/>
      <c r="K130" s="92"/>
      <c r="L130" s="18"/>
      <c r="M130" s="39"/>
      <c r="N130" s="18"/>
      <c r="O130" s="18"/>
      <c r="P130" s="18"/>
      <c r="Q130" s="18"/>
      <c r="S130" s="18"/>
      <c r="AH130" s="1"/>
      <c r="AU130" s="1"/>
      <c r="AV130" s="1"/>
    </row>
    <row r="131" spans="1:48" ht="12" customHeight="1">
      <c r="A131" s="18"/>
      <c r="B131" s="93"/>
      <c r="C131" s="18"/>
      <c r="D131" s="18"/>
      <c r="E131" s="18"/>
      <c r="F131" s="18"/>
      <c r="G131" s="18"/>
      <c r="H131" s="18"/>
      <c r="I131" s="18"/>
      <c r="J131" s="71"/>
      <c r="K131" s="92"/>
      <c r="L131" s="18"/>
      <c r="M131" s="39"/>
      <c r="N131" s="18"/>
      <c r="O131" s="18"/>
      <c r="P131" s="18"/>
      <c r="Q131" s="18"/>
      <c r="S131" s="18"/>
      <c r="AH131" s="1"/>
      <c r="AU131" s="1"/>
      <c r="AV131" s="1"/>
    </row>
    <row r="132" spans="1:48" ht="12" customHeight="1">
      <c r="A132" s="18"/>
      <c r="B132" s="93"/>
      <c r="C132" s="18"/>
      <c r="D132" s="18"/>
      <c r="E132" s="18"/>
      <c r="F132" s="18"/>
      <c r="G132" s="18"/>
      <c r="H132" s="18"/>
      <c r="I132" s="18"/>
      <c r="J132" s="71"/>
      <c r="K132" s="92"/>
      <c r="L132" s="18"/>
      <c r="M132" s="39"/>
      <c r="N132" s="18"/>
      <c r="O132" s="18"/>
      <c r="P132" s="18"/>
      <c r="Q132" s="18"/>
      <c r="S132" s="18"/>
      <c r="AH132" s="1"/>
      <c r="AU132" s="1"/>
      <c r="AV132" s="1"/>
    </row>
    <row r="133" spans="1:48" ht="12" customHeight="1">
      <c r="A133" s="18"/>
      <c r="B133" s="93"/>
      <c r="C133" s="18"/>
      <c r="D133" s="18"/>
      <c r="E133" s="18"/>
      <c r="F133" s="18"/>
      <c r="G133" s="18"/>
      <c r="H133" s="18"/>
      <c r="I133" s="18"/>
      <c r="J133" s="71"/>
      <c r="K133" s="92"/>
      <c r="L133" s="18"/>
      <c r="M133" s="39"/>
      <c r="N133" s="18"/>
      <c r="O133" s="18"/>
      <c r="P133" s="18"/>
      <c r="Q133" s="18"/>
      <c r="S133" s="18"/>
      <c r="AH133" s="1"/>
      <c r="AU133" s="1"/>
      <c r="AV133" s="1"/>
    </row>
    <row r="134" spans="1:48" ht="12" customHeight="1">
      <c r="A134" s="18"/>
      <c r="B134" s="93"/>
      <c r="C134" s="18"/>
      <c r="D134" s="18"/>
      <c r="E134" s="18"/>
      <c r="F134" s="18"/>
      <c r="G134" s="18"/>
      <c r="H134" s="18"/>
      <c r="I134" s="18"/>
      <c r="J134" s="71"/>
      <c r="K134" s="92"/>
      <c r="L134" s="18"/>
      <c r="M134" s="39"/>
      <c r="N134" s="18"/>
      <c r="O134" s="18"/>
      <c r="P134" s="18"/>
      <c r="Q134" s="18"/>
      <c r="S134" s="18"/>
      <c r="AH134" s="1"/>
      <c r="AU134" s="1"/>
      <c r="AV134" s="1"/>
    </row>
    <row r="135" spans="1:48" ht="12" customHeight="1">
      <c r="A135" s="18"/>
      <c r="B135" s="93"/>
      <c r="C135" s="18"/>
      <c r="D135" s="18"/>
      <c r="E135" s="18"/>
      <c r="F135" s="18"/>
      <c r="G135" s="18"/>
      <c r="H135" s="18"/>
      <c r="I135" s="18"/>
      <c r="J135" s="71"/>
      <c r="K135" s="92"/>
      <c r="L135" s="18"/>
      <c r="M135" s="39"/>
      <c r="N135" s="18"/>
      <c r="O135" s="18"/>
      <c r="P135" s="18"/>
      <c r="Q135" s="18"/>
      <c r="S135" s="18"/>
      <c r="AH135" s="1"/>
      <c r="AU135" s="1"/>
      <c r="AV135" s="1"/>
    </row>
    <row r="136" spans="1:48" ht="12" customHeight="1">
      <c r="A136" s="18"/>
      <c r="B136" s="93"/>
      <c r="C136" s="18"/>
      <c r="D136" s="18"/>
      <c r="E136" s="18"/>
      <c r="F136" s="18"/>
      <c r="G136" s="18"/>
      <c r="H136" s="18"/>
      <c r="I136" s="18"/>
      <c r="J136" s="71"/>
      <c r="K136" s="92"/>
      <c r="L136" s="18"/>
      <c r="M136" s="39"/>
      <c r="N136" s="18"/>
      <c r="O136" s="18"/>
      <c r="P136" s="18"/>
      <c r="Q136" s="18"/>
      <c r="S136" s="18"/>
      <c r="AH136" s="1"/>
      <c r="AU136" s="1"/>
      <c r="AV136" s="1"/>
    </row>
    <row r="137" spans="1:48" ht="12" customHeight="1">
      <c r="A137" s="18"/>
      <c r="B137" s="93"/>
      <c r="C137" s="18"/>
      <c r="D137" s="18"/>
      <c r="E137" s="18"/>
      <c r="F137" s="18"/>
      <c r="G137" s="18"/>
      <c r="H137" s="18"/>
      <c r="I137" s="18"/>
      <c r="J137" s="71"/>
      <c r="K137" s="92"/>
      <c r="L137" s="18"/>
      <c r="M137" s="39"/>
      <c r="N137" s="18"/>
      <c r="O137" s="18"/>
      <c r="P137" s="18"/>
      <c r="Q137" s="18"/>
      <c r="S137" s="18"/>
      <c r="AH137" s="1"/>
      <c r="AU137" s="1"/>
      <c r="AV137" s="1"/>
    </row>
    <row r="138" spans="1:48" ht="12" customHeight="1">
      <c r="A138" s="18"/>
      <c r="B138" s="93"/>
      <c r="C138" s="18"/>
      <c r="D138" s="18"/>
      <c r="E138" s="18"/>
      <c r="F138" s="18"/>
      <c r="G138" s="18"/>
      <c r="H138" s="18"/>
      <c r="I138" s="18"/>
      <c r="J138" s="71"/>
      <c r="K138" s="92"/>
      <c r="L138" s="18"/>
      <c r="M138" s="39"/>
      <c r="N138" s="18"/>
      <c r="O138" s="18"/>
      <c r="P138" s="18"/>
      <c r="Q138" s="18"/>
      <c r="S138" s="18"/>
      <c r="AH138" s="1"/>
      <c r="AU138" s="1"/>
      <c r="AV138" s="1"/>
    </row>
    <row r="139" spans="1:48" ht="12" customHeight="1">
      <c r="A139" s="18"/>
      <c r="B139" s="93"/>
      <c r="C139" s="18"/>
      <c r="D139" s="18"/>
      <c r="E139" s="18"/>
      <c r="F139" s="18"/>
      <c r="G139" s="18"/>
      <c r="H139" s="18"/>
      <c r="I139" s="18"/>
      <c r="J139" s="71"/>
      <c r="K139" s="92"/>
      <c r="L139" s="18"/>
      <c r="M139" s="39"/>
      <c r="N139" s="18"/>
      <c r="O139" s="18"/>
      <c r="P139" s="18"/>
      <c r="Q139" s="18"/>
      <c r="S139" s="18"/>
      <c r="AH139" s="1"/>
      <c r="AU139" s="1"/>
      <c r="AV139" s="1"/>
    </row>
    <row r="140" spans="1:48" ht="12" customHeight="1">
      <c r="A140" s="18"/>
      <c r="B140" s="93"/>
      <c r="C140" s="18"/>
      <c r="D140" s="18"/>
      <c r="E140" s="18"/>
      <c r="F140" s="18"/>
      <c r="G140" s="18"/>
      <c r="H140" s="18"/>
      <c r="I140" s="18"/>
      <c r="J140" s="71"/>
      <c r="K140" s="92"/>
      <c r="L140" s="18"/>
      <c r="M140" s="39"/>
      <c r="N140" s="18"/>
      <c r="O140" s="18"/>
      <c r="P140" s="18"/>
      <c r="Q140" s="18"/>
      <c r="S140" s="18"/>
      <c r="AH140" s="1"/>
      <c r="AU140" s="1"/>
      <c r="AV140" s="1"/>
    </row>
    <row r="141" spans="1:48" ht="12" customHeight="1">
      <c r="A141" s="18"/>
      <c r="B141" s="93"/>
      <c r="C141" s="18"/>
      <c r="D141" s="18"/>
      <c r="E141" s="18"/>
      <c r="F141" s="18"/>
      <c r="G141" s="18"/>
      <c r="H141" s="18"/>
      <c r="I141" s="18"/>
      <c r="J141" s="71"/>
      <c r="K141" s="92"/>
      <c r="L141" s="18"/>
      <c r="M141" s="39"/>
      <c r="N141" s="18"/>
      <c r="O141" s="18"/>
      <c r="P141" s="18"/>
      <c r="Q141" s="18"/>
      <c r="S141" s="18"/>
      <c r="AH141" s="1"/>
      <c r="AU141" s="1"/>
      <c r="AV141" s="1"/>
    </row>
    <row r="142" spans="1:48" ht="12" customHeight="1">
      <c r="A142" s="18"/>
      <c r="B142" s="93"/>
      <c r="C142" s="18"/>
      <c r="D142" s="18"/>
      <c r="E142" s="18"/>
      <c r="F142" s="18"/>
      <c r="G142" s="18"/>
      <c r="H142" s="18"/>
      <c r="I142" s="18"/>
      <c r="J142" s="71"/>
      <c r="K142" s="92"/>
      <c r="L142" s="18"/>
      <c r="M142" s="39"/>
      <c r="N142" s="18"/>
      <c r="O142" s="18"/>
      <c r="P142" s="18"/>
      <c r="Q142" s="18"/>
      <c r="S142" s="18"/>
      <c r="AH142" s="1"/>
      <c r="AU142" s="1"/>
      <c r="AV142" s="1"/>
    </row>
    <row r="143" spans="1:48" ht="12" customHeight="1">
      <c r="A143" s="18"/>
      <c r="B143" s="93"/>
      <c r="C143" s="18"/>
      <c r="D143" s="18"/>
      <c r="E143" s="18"/>
      <c r="F143" s="18"/>
      <c r="G143" s="18"/>
      <c r="H143" s="18"/>
      <c r="I143" s="18"/>
      <c r="J143" s="71"/>
      <c r="K143" s="92"/>
      <c r="L143" s="18"/>
      <c r="M143" s="39"/>
      <c r="N143" s="18"/>
      <c r="O143" s="18"/>
      <c r="P143" s="18"/>
      <c r="Q143" s="18"/>
      <c r="S143" s="18"/>
      <c r="AH143" s="1"/>
      <c r="AU143" s="1"/>
      <c r="AV143" s="1"/>
    </row>
    <row r="144" spans="1:48" ht="12" customHeight="1">
      <c r="A144" s="18"/>
      <c r="B144" s="93"/>
      <c r="C144" s="18"/>
      <c r="D144" s="18"/>
      <c r="E144" s="18"/>
      <c r="F144" s="18"/>
      <c r="G144" s="18"/>
      <c r="H144" s="18"/>
      <c r="I144" s="18"/>
      <c r="J144" s="71"/>
      <c r="K144" s="92"/>
      <c r="L144" s="18"/>
      <c r="M144" s="39"/>
      <c r="N144" s="18"/>
      <c r="O144" s="18"/>
      <c r="P144" s="18"/>
      <c r="Q144" s="18"/>
      <c r="S144" s="18"/>
      <c r="AH144" s="1"/>
      <c r="AU144" s="1"/>
      <c r="AV144" s="1"/>
    </row>
    <row r="145" spans="1:48" ht="12" customHeight="1">
      <c r="A145" s="18"/>
      <c r="B145" s="93"/>
      <c r="C145" s="18"/>
      <c r="D145" s="18"/>
      <c r="E145" s="18"/>
      <c r="F145" s="18"/>
      <c r="G145" s="18"/>
      <c r="H145" s="18"/>
      <c r="I145" s="18"/>
      <c r="J145" s="71"/>
      <c r="K145" s="92"/>
      <c r="L145" s="18"/>
      <c r="M145" s="39"/>
      <c r="N145" s="18"/>
      <c r="O145" s="18"/>
      <c r="P145" s="18"/>
      <c r="Q145" s="18"/>
      <c r="S145" s="18"/>
      <c r="AH145" s="1"/>
      <c r="AU145" s="1"/>
      <c r="AV145" s="1"/>
    </row>
    <row r="146" spans="1:48" ht="12" customHeight="1">
      <c r="A146" s="18"/>
      <c r="B146" s="93"/>
      <c r="C146" s="18"/>
      <c r="D146" s="18"/>
      <c r="E146" s="18"/>
      <c r="F146" s="18"/>
      <c r="G146" s="18"/>
      <c r="H146" s="18"/>
      <c r="I146" s="18"/>
      <c r="J146" s="71"/>
      <c r="K146" s="92"/>
      <c r="L146" s="18"/>
      <c r="M146" s="39"/>
      <c r="N146" s="18"/>
      <c r="O146" s="18"/>
      <c r="P146" s="18"/>
      <c r="Q146" s="18"/>
      <c r="S146" s="18"/>
      <c r="AH146" s="1"/>
      <c r="AU146" s="1"/>
      <c r="AV146" s="1"/>
    </row>
    <row r="147" spans="1:48" ht="12" customHeight="1">
      <c r="A147" s="18"/>
      <c r="B147" s="93"/>
      <c r="C147" s="18"/>
      <c r="D147" s="18"/>
      <c r="E147" s="18"/>
      <c r="F147" s="18"/>
      <c r="G147" s="18"/>
      <c r="H147" s="18"/>
      <c r="I147" s="18"/>
      <c r="J147" s="71"/>
      <c r="K147" s="92"/>
      <c r="L147" s="18"/>
      <c r="M147" s="39"/>
      <c r="N147" s="18"/>
      <c r="O147" s="18"/>
      <c r="P147" s="18"/>
      <c r="Q147" s="18"/>
      <c r="S147" s="18"/>
      <c r="AH147" s="1"/>
      <c r="AU147" s="1"/>
      <c r="AV147" s="1"/>
    </row>
    <row r="148" spans="1:48" ht="12" customHeight="1">
      <c r="A148" s="18"/>
      <c r="B148" s="93"/>
      <c r="C148" s="18"/>
      <c r="D148" s="18"/>
      <c r="E148" s="18"/>
      <c r="F148" s="18"/>
      <c r="G148" s="18"/>
      <c r="H148" s="18"/>
      <c r="I148" s="18"/>
      <c r="J148" s="71"/>
      <c r="K148" s="92"/>
      <c r="L148" s="18"/>
      <c r="M148" s="39"/>
      <c r="N148" s="18"/>
      <c r="O148" s="18"/>
      <c r="P148" s="18"/>
      <c r="Q148" s="18"/>
      <c r="S148" s="18"/>
      <c r="AH148" s="1"/>
      <c r="AU148" s="1"/>
      <c r="AV148" s="1"/>
    </row>
    <row r="149" spans="1:48" ht="12" customHeight="1">
      <c r="A149" s="18"/>
      <c r="B149" s="93"/>
      <c r="C149" s="18"/>
      <c r="D149" s="18"/>
      <c r="E149" s="18"/>
      <c r="F149" s="18"/>
      <c r="G149" s="18"/>
      <c r="H149" s="18"/>
      <c r="I149" s="18"/>
      <c r="J149" s="71"/>
      <c r="K149" s="92"/>
      <c r="L149" s="18"/>
      <c r="M149" s="39"/>
      <c r="N149" s="18"/>
      <c r="O149" s="18"/>
      <c r="P149" s="18"/>
      <c r="Q149" s="18"/>
      <c r="S149" s="18"/>
      <c r="AH149" s="1"/>
      <c r="AU149" s="1"/>
      <c r="AV149" s="1"/>
    </row>
    <row r="150" spans="1:48" ht="12" customHeight="1">
      <c r="A150" s="18"/>
      <c r="B150" s="93"/>
      <c r="C150" s="18"/>
      <c r="D150" s="18"/>
      <c r="E150" s="18"/>
      <c r="F150" s="18"/>
      <c r="G150" s="18"/>
      <c r="H150" s="18"/>
      <c r="I150" s="18"/>
      <c r="J150" s="71"/>
      <c r="K150" s="92"/>
      <c r="L150" s="18"/>
      <c r="M150" s="39"/>
      <c r="N150" s="18"/>
      <c r="O150" s="18"/>
      <c r="P150" s="18"/>
      <c r="Q150" s="18"/>
      <c r="S150" s="18"/>
      <c r="AH150" s="1"/>
      <c r="AU150" s="1"/>
      <c r="AV150" s="1"/>
    </row>
    <row r="151" spans="1:48" ht="12" customHeight="1">
      <c r="A151" s="18"/>
      <c r="B151" s="93"/>
      <c r="C151" s="18"/>
      <c r="D151" s="18"/>
      <c r="E151" s="18"/>
      <c r="F151" s="18"/>
      <c r="G151" s="18"/>
      <c r="H151" s="18"/>
      <c r="I151" s="18"/>
      <c r="J151" s="71"/>
      <c r="K151" s="92"/>
      <c r="L151" s="18"/>
      <c r="M151" s="39"/>
      <c r="N151" s="18"/>
      <c r="O151" s="18"/>
      <c r="P151" s="18"/>
      <c r="Q151" s="18"/>
      <c r="S151" s="18"/>
      <c r="AH151" s="1"/>
      <c r="AU151" s="1"/>
      <c r="AV151" s="1"/>
    </row>
    <row r="152" spans="1:48" ht="12" customHeight="1">
      <c r="A152" s="18"/>
      <c r="B152" s="93"/>
      <c r="C152" s="18"/>
      <c r="D152" s="18"/>
      <c r="E152" s="18"/>
      <c r="F152" s="18"/>
      <c r="G152" s="18"/>
      <c r="H152" s="18"/>
      <c r="I152" s="18"/>
      <c r="J152" s="71"/>
      <c r="K152" s="92"/>
      <c r="L152" s="18"/>
      <c r="M152" s="39"/>
      <c r="N152" s="18"/>
      <c r="O152" s="18"/>
      <c r="P152" s="18"/>
      <c r="Q152" s="18"/>
      <c r="S152" s="18"/>
      <c r="AH152" s="1"/>
      <c r="AU152" s="1"/>
      <c r="AV152" s="1"/>
    </row>
    <row r="153" spans="1:48" ht="12" customHeight="1">
      <c r="A153" s="18"/>
      <c r="B153" s="93"/>
      <c r="C153" s="18"/>
      <c r="D153" s="18"/>
      <c r="E153" s="18"/>
      <c r="F153" s="18"/>
      <c r="G153" s="18"/>
      <c r="H153" s="18"/>
      <c r="I153" s="18"/>
      <c r="J153" s="71"/>
      <c r="K153" s="92"/>
      <c r="L153" s="18"/>
      <c r="M153" s="39"/>
      <c r="N153" s="18"/>
      <c r="O153" s="18"/>
      <c r="P153" s="18"/>
      <c r="Q153" s="18"/>
      <c r="S153" s="18"/>
      <c r="AH153" s="1"/>
      <c r="AU153" s="1"/>
      <c r="AV153" s="1"/>
    </row>
    <row r="154" spans="1:48" ht="12" customHeight="1">
      <c r="A154" s="18"/>
      <c r="B154" s="93"/>
      <c r="C154" s="18"/>
      <c r="D154" s="18"/>
      <c r="E154" s="18"/>
      <c r="F154" s="18"/>
      <c r="G154" s="18"/>
      <c r="H154" s="18"/>
      <c r="I154" s="18"/>
      <c r="J154" s="71"/>
      <c r="K154" s="92"/>
      <c r="L154" s="18"/>
      <c r="M154" s="39"/>
      <c r="N154" s="18"/>
      <c r="O154" s="18"/>
      <c r="P154" s="18"/>
      <c r="Q154" s="18"/>
      <c r="S154" s="18"/>
      <c r="AH154" s="1"/>
      <c r="AU154" s="1"/>
      <c r="AV154" s="1"/>
    </row>
    <row r="155" spans="1:48" ht="12" customHeight="1">
      <c r="A155" s="18"/>
      <c r="B155" s="93"/>
      <c r="C155" s="18"/>
      <c r="D155" s="18"/>
      <c r="E155" s="18"/>
      <c r="F155" s="18"/>
      <c r="G155" s="18"/>
      <c r="H155" s="18"/>
      <c r="I155" s="18"/>
      <c r="J155" s="71"/>
      <c r="K155" s="92"/>
      <c r="L155" s="18"/>
      <c r="M155" s="39"/>
      <c r="N155" s="18"/>
      <c r="O155" s="18"/>
      <c r="P155" s="18"/>
      <c r="Q155" s="18"/>
      <c r="S155" s="18"/>
      <c r="AH155" s="1"/>
      <c r="AU155" s="1"/>
      <c r="AV155" s="1"/>
    </row>
    <row r="156" spans="1:48" ht="12" customHeight="1">
      <c r="A156" s="18"/>
      <c r="B156" s="93"/>
      <c r="C156" s="18"/>
      <c r="D156" s="18"/>
      <c r="E156" s="18"/>
      <c r="F156" s="18"/>
      <c r="G156" s="18"/>
      <c r="H156" s="18"/>
      <c r="I156" s="18"/>
      <c r="J156" s="71"/>
      <c r="K156" s="92"/>
      <c r="L156" s="18"/>
      <c r="M156" s="39"/>
      <c r="N156" s="18"/>
      <c r="O156" s="18"/>
      <c r="P156" s="18"/>
      <c r="Q156" s="18"/>
      <c r="S156" s="18"/>
      <c r="AH156" s="1"/>
      <c r="AU156" s="1"/>
      <c r="AV156" s="1"/>
    </row>
    <row r="157" spans="1:48" ht="12" customHeight="1">
      <c r="A157" s="18"/>
      <c r="B157" s="93"/>
      <c r="C157" s="18"/>
      <c r="D157" s="18"/>
      <c r="E157" s="18"/>
      <c r="F157" s="18"/>
      <c r="G157" s="18"/>
      <c r="H157" s="18"/>
      <c r="I157" s="18"/>
      <c r="J157" s="71"/>
      <c r="K157" s="92"/>
      <c r="L157" s="18"/>
      <c r="M157" s="39"/>
      <c r="N157" s="18"/>
      <c r="O157" s="18"/>
      <c r="P157" s="18"/>
      <c r="Q157" s="18"/>
      <c r="S157" s="18"/>
      <c r="AH157" s="1"/>
      <c r="AU157" s="1"/>
      <c r="AV157" s="1"/>
    </row>
    <row r="158" spans="1:48" ht="12" customHeight="1">
      <c r="A158" s="18"/>
      <c r="B158" s="93"/>
      <c r="C158" s="18"/>
      <c r="D158" s="18"/>
      <c r="E158" s="18"/>
      <c r="F158" s="18"/>
      <c r="G158" s="18"/>
      <c r="H158" s="18"/>
      <c r="I158" s="18"/>
      <c r="J158" s="71"/>
      <c r="K158" s="92"/>
      <c r="L158" s="18"/>
      <c r="M158" s="39"/>
      <c r="N158" s="18"/>
      <c r="O158" s="18"/>
      <c r="P158" s="18"/>
      <c r="Q158" s="18"/>
      <c r="S158" s="18"/>
      <c r="AH158" s="1"/>
      <c r="AU158" s="1"/>
      <c r="AV158" s="1"/>
    </row>
    <row r="159" spans="1:48" ht="12" customHeight="1">
      <c r="A159" s="18"/>
      <c r="B159" s="93"/>
      <c r="C159" s="18"/>
      <c r="D159" s="18"/>
      <c r="E159" s="18"/>
      <c r="F159" s="18"/>
      <c r="G159" s="18"/>
      <c r="H159" s="18"/>
      <c r="I159" s="18"/>
      <c r="J159" s="71"/>
      <c r="K159" s="92"/>
      <c r="L159" s="18"/>
      <c r="M159" s="39"/>
      <c r="N159" s="18"/>
      <c r="O159" s="18"/>
      <c r="P159" s="18"/>
      <c r="Q159" s="18"/>
      <c r="S159" s="18"/>
      <c r="AH159" s="1"/>
      <c r="AU159" s="1"/>
      <c r="AV159" s="1"/>
    </row>
    <row r="160" spans="1:48" ht="12" customHeight="1">
      <c r="A160" s="18"/>
      <c r="B160" s="93"/>
      <c r="C160" s="18"/>
      <c r="D160" s="18"/>
      <c r="E160" s="18"/>
      <c r="F160" s="18"/>
      <c r="G160" s="18"/>
      <c r="H160" s="18"/>
      <c r="I160" s="18"/>
      <c r="J160" s="71"/>
      <c r="K160" s="92"/>
      <c r="L160" s="18"/>
      <c r="M160" s="39"/>
      <c r="N160" s="18"/>
      <c r="O160" s="18"/>
      <c r="P160" s="18"/>
      <c r="Q160" s="18"/>
      <c r="S160" s="18"/>
      <c r="AH160" s="1"/>
      <c r="AU160" s="1"/>
      <c r="AV160" s="1"/>
    </row>
    <row r="161" spans="1:48" ht="12" customHeight="1">
      <c r="A161" s="18"/>
      <c r="B161" s="93"/>
      <c r="C161" s="18"/>
      <c r="D161" s="18"/>
      <c r="E161" s="18"/>
      <c r="F161" s="18"/>
      <c r="G161" s="18"/>
      <c r="H161" s="18"/>
      <c r="I161" s="18"/>
      <c r="J161" s="71"/>
      <c r="K161" s="92"/>
      <c r="L161" s="18"/>
      <c r="M161" s="39"/>
      <c r="N161" s="18"/>
      <c r="O161" s="18"/>
      <c r="P161" s="18"/>
      <c r="Q161" s="18"/>
      <c r="S161" s="18"/>
      <c r="AH161" s="1"/>
      <c r="AU161" s="1"/>
      <c r="AV161" s="1"/>
    </row>
    <row r="162" spans="1:48" ht="12" customHeight="1">
      <c r="A162" s="18"/>
      <c r="B162" s="93"/>
      <c r="C162" s="18"/>
      <c r="D162" s="18"/>
      <c r="E162" s="18"/>
      <c r="F162" s="18"/>
      <c r="G162" s="18"/>
      <c r="H162" s="18"/>
      <c r="I162" s="18"/>
      <c r="J162" s="71"/>
      <c r="K162" s="92"/>
      <c r="L162" s="18"/>
      <c r="M162" s="39"/>
      <c r="N162" s="18"/>
      <c r="O162" s="18"/>
      <c r="P162" s="18"/>
      <c r="Q162" s="18"/>
      <c r="S162" s="18"/>
      <c r="AH162" s="1"/>
      <c r="AU162" s="1"/>
      <c r="AV162" s="1"/>
    </row>
    <row r="163" spans="1:48" ht="12" customHeight="1">
      <c r="A163" s="18"/>
      <c r="B163" s="93"/>
      <c r="C163" s="18"/>
      <c r="D163" s="18"/>
      <c r="E163" s="18"/>
      <c r="F163" s="18"/>
      <c r="G163" s="18"/>
      <c r="H163" s="18"/>
      <c r="I163" s="18"/>
      <c r="J163" s="71"/>
      <c r="K163" s="92"/>
      <c r="L163" s="18"/>
      <c r="M163" s="39"/>
      <c r="N163" s="18"/>
      <c r="O163" s="18"/>
      <c r="P163" s="18"/>
      <c r="Q163" s="18"/>
      <c r="S163" s="18"/>
      <c r="AH163" s="1"/>
      <c r="AU163" s="1"/>
      <c r="AV163" s="1"/>
    </row>
    <row r="164" spans="1:48" ht="12" customHeight="1">
      <c r="A164" s="18"/>
      <c r="B164" s="93"/>
      <c r="C164" s="18"/>
      <c r="D164" s="18"/>
      <c r="E164" s="18"/>
      <c r="F164" s="18"/>
      <c r="G164" s="18"/>
      <c r="H164" s="18"/>
      <c r="I164" s="18"/>
      <c r="J164" s="71"/>
      <c r="K164" s="92"/>
      <c r="L164" s="18"/>
      <c r="M164" s="39"/>
      <c r="N164" s="18"/>
      <c r="O164" s="18"/>
      <c r="P164" s="18"/>
      <c r="Q164" s="18"/>
      <c r="S164" s="18"/>
      <c r="AH164" s="1"/>
      <c r="AU164" s="1"/>
      <c r="AV164" s="1"/>
    </row>
    <row r="165" spans="1:48" ht="12" customHeight="1">
      <c r="A165" s="18"/>
      <c r="B165" s="93"/>
      <c r="C165" s="18"/>
      <c r="D165" s="18"/>
      <c r="E165" s="18"/>
      <c r="F165" s="18"/>
      <c r="G165" s="18"/>
      <c r="H165" s="18"/>
      <c r="I165" s="18"/>
      <c r="J165" s="71"/>
      <c r="K165" s="92"/>
      <c r="L165" s="18"/>
      <c r="M165" s="39"/>
      <c r="N165" s="18"/>
      <c r="O165" s="18"/>
      <c r="P165" s="18"/>
      <c r="Q165" s="18"/>
      <c r="S165" s="18"/>
      <c r="AH165" s="1"/>
      <c r="AU165" s="1"/>
      <c r="AV165" s="1"/>
    </row>
    <row r="166" spans="1:48" ht="12" customHeight="1">
      <c r="A166" s="18"/>
      <c r="B166" s="93"/>
      <c r="C166" s="18"/>
      <c r="D166" s="18"/>
      <c r="E166" s="18"/>
      <c r="F166" s="18"/>
      <c r="G166" s="18"/>
      <c r="H166" s="18"/>
      <c r="I166" s="18"/>
      <c r="J166" s="71"/>
      <c r="K166" s="92"/>
      <c r="L166" s="18"/>
      <c r="M166" s="39"/>
      <c r="N166" s="18"/>
      <c r="O166" s="18"/>
      <c r="P166" s="18"/>
      <c r="Q166" s="18"/>
      <c r="S166" s="18"/>
      <c r="AH166" s="1"/>
      <c r="AU166" s="1"/>
      <c r="AV166" s="1"/>
    </row>
    <row r="167" spans="1:48" ht="12" customHeight="1">
      <c r="A167" s="18"/>
      <c r="B167" s="93"/>
      <c r="C167" s="18"/>
      <c r="D167" s="18"/>
      <c r="E167" s="18"/>
      <c r="F167" s="18"/>
      <c r="G167" s="18"/>
      <c r="H167" s="18"/>
      <c r="I167" s="18"/>
      <c r="J167" s="71"/>
      <c r="K167" s="92"/>
      <c r="L167" s="18"/>
      <c r="M167" s="39"/>
      <c r="N167" s="18"/>
      <c r="O167" s="18"/>
      <c r="P167" s="18"/>
      <c r="Q167" s="18"/>
      <c r="S167" s="18"/>
      <c r="AH167" s="1"/>
      <c r="AU167" s="1"/>
      <c r="AV167" s="1"/>
    </row>
    <row r="168" spans="1:48" ht="12" customHeight="1">
      <c r="A168" s="18"/>
      <c r="B168" s="93"/>
      <c r="C168" s="18"/>
      <c r="D168" s="18"/>
      <c r="E168" s="18"/>
      <c r="F168" s="18"/>
      <c r="G168" s="18"/>
      <c r="H168" s="18"/>
      <c r="I168" s="18"/>
      <c r="J168" s="71"/>
      <c r="K168" s="92"/>
      <c r="L168" s="18"/>
      <c r="M168" s="39"/>
      <c r="N168" s="18"/>
      <c r="O168" s="18"/>
      <c r="P168" s="18"/>
      <c r="Q168" s="18"/>
      <c r="S168" s="18"/>
      <c r="AH168" s="1"/>
      <c r="AU168" s="1"/>
      <c r="AV168" s="1"/>
    </row>
    <row r="169" spans="1:48" ht="12" customHeight="1">
      <c r="A169" s="18"/>
      <c r="B169" s="93"/>
      <c r="C169" s="18"/>
      <c r="D169" s="18"/>
      <c r="E169" s="18"/>
      <c r="F169" s="18"/>
      <c r="G169" s="18"/>
      <c r="H169" s="18"/>
      <c r="I169" s="18"/>
      <c r="J169" s="71"/>
      <c r="K169" s="92"/>
      <c r="L169" s="18"/>
      <c r="M169" s="39"/>
      <c r="N169" s="18"/>
      <c r="O169" s="18"/>
      <c r="P169" s="18"/>
      <c r="Q169" s="18"/>
      <c r="S169" s="18"/>
      <c r="AH169" s="1"/>
      <c r="AU169" s="1"/>
      <c r="AV169" s="1"/>
    </row>
    <row r="170" spans="1:48" ht="12" customHeight="1">
      <c r="A170" s="18"/>
      <c r="B170" s="93"/>
      <c r="C170" s="18"/>
      <c r="D170" s="18"/>
      <c r="E170" s="18"/>
      <c r="F170" s="18"/>
      <c r="G170" s="18"/>
      <c r="H170" s="18"/>
      <c r="I170" s="18"/>
      <c r="J170" s="71"/>
      <c r="K170" s="92"/>
      <c r="L170" s="18"/>
      <c r="M170" s="39"/>
      <c r="N170" s="18"/>
      <c r="O170" s="18"/>
      <c r="P170" s="18"/>
      <c r="Q170" s="18"/>
      <c r="S170" s="18"/>
      <c r="AH170" s="1"/>
      <c r="AU170" s="1"/>
      <c r="AV170" s="1"/>
    </row>
    <row r="171" spans="1:48" ht="12" customHeight="1">
      <c r="A171" s="18"/>
      <c r="B171" s="93"/>
      <c r="C171" s="18"/>
      <c r="D171" s="18"/>
      <c r="E171" s="18"/>
      <c r="F171" s="18"/>
      <c r="G171" s="18"/>
      <c r="H171" s="18"/>
      <c r="I171" s="18"/>
      <c r="J171" s="71"/>
      <c r="K171" s="92"/>
      <c r="L171" s="18"/>
      <c r="M171" s="39"/>
      <c r="N171" s="18"/>
      <c r="O171" s="18"/>
      <c r="P171" s="18"/>
      <c r="Q171" s="18"/>
      <c r="S171" s="18"/>
      <c r="AH171" s="1"/>
      <c r="AU171" s="1"/>
      <c r="AV171" s="1"/>
    </row>
    <row r="172" spans="1:48" ht="12" customHeight="1">
      <c r="A172" s="18"/>
      <c r="B172" s="93"/>
      <c r="C172" s="18"/>
      <c r="D172" s="18"/>
      <c r="E172" s="18"/>
      <c r="F172" s="18"/>
      <c r="G172" s="18"/>
      <c r="H172" s="18"/>
      <c r="I172" s="18"/>
      <c r="J172" s="71"/>
      <c r="K172" s="92"/>
      <c r="L172" s="18"/>
      <c r="M172" s="39"/>
      <c r="N172" s="18"/>
      <c r="O172" s="18"/>
      <c r="P172" s="18"/>
      <c r="Q172" s="18"/>
      <c r="S172" s="18"/>
      <c r="AH172" s="1"/>
      <c r="AU172" s="1"/>
      <c r="AV172" s="1"/>
    </row>
    <row r="173" spans="1:48" ht="12" customHeight="1">
      <c r="A173" s="18"/>
      <c r="B173" s="93"/>
      <c r="C173" s="18"/>
      <c r="D173" s="18"/>
      <c r="E173" s="18"/>
      <c r="F173" s="18"/>
      <c r="G173" s="18"/>
      <c r="H173" s="18"/>
      <c r="I173" s="18"/>
      <c r="J173" s="71"/>
      <c r="K173" s="92"/>
      <c r="L173" s="18"/>
      <c r="M173" s="39"/>
      <c r="N173" s="18"/>
      <c r="O173" s="18"/>
      <c r="P173" s="18"/>
      <c r="Q173" s="18"/>
      <c r="S173" s="18"/>
      <c r="AH173" s="1"/>
      <c r="AU173" s="1"/>
      <c r="AV173" s="1"/>
    </row>
    <row r="174" spans="1:48" ht="12" customHeight="1">
      <c r="A174" s="18"/>
      <c r="B174" s="93"/>
      <c r="C174" s="18"/>
      <c r="D174" s="18"/>
      <c r="E174" s="18"/>
      <c r="F174" s="18"/>
      <c r="G174" s="18"/>
      <c r="H174" s="18"/>
      <c r="I174" s="18"/>
      <c r="J174" s="71"/>
      <c r="K174" s="92"/>
      <c r="L174" s="18"/>
      <c r="M174" s="39"/>
      <c r="N174" s="18"/>
      <c r="O174" s="18"/>
      <c r="P174" s="18"/>
      <c r="Q174" s="18"/>
      <c r="S174" s="18"/>
      <c r="AH174" s="1"/>
      <c r="AU174" s="1"/>
      <c r="AV174" s="1"/>
    </row>
    <row r="175" spans="1:48" ht="12" customHeight="1">
      <c r="A175" s="18"/>
      <c r="B175" s="93"/>
      <c r="C175" s="18"/>
      <c r="D175" s="18"/>
      <c r="E175" s="18"/>
      <c r="F175" s="18"/>
      <c r="G175" s="18"/>
      <c r="H175" s="18"/>
      <c r="I175" s="18"/>
      <c r="J175" s="71"/>
      <c r="K175" s="92"/>
      <c r="L175" s="18"/>
      <c r="M175" s="39"/>
      <c r="N175" s="18"/>
      <c r="O175" s="18"/>
      <c r="P175" s="18"/>
      <c r="Q175" s="18"/>
      <c r="S175" s="18"/>
      <c r="AH175" s="1"/>
      <c r="AU175" s="1"/>
      <c r="AV175" s="1"/>
    </row>
    <row r="176" spans="1:48" ht="12" customHeight="1">
      <c r="A176" s="18"/>
      <c r="B176" s="93"/>
      <c r="C176" s="18"/>
      <c r="D176" s="18"/>
      <c r="E176" s="18"/>
      <c r="F176" s="18"/>
      <c r="G176" s="18"/>
      <c r="H176" s="18"/>
      <c r="I176" s="18"/>
      <c r="J176" s="71"/>
      <c r="K176" s="92"/>
      <c r="L176" s="18"/>
      <c r="M176" s="39"/>
      <c r="N176" s="18"/>
      <c r="O176" s="18"/>
      <c r="P176" s="18"/>
      <c r="Q176" s="18"/>
      <c r="S176" s="18"/>
      <c r="AH176" s="1"/>
      <c r="AU176" s="1"/>
      <c r="AV176" s="1"/>
    </row>
    <row r="177" spans="1:48" ht="12" customHeight="1">
      <c r="A177" s="18"/>
      <c r="B177" s="93"/>
      <c r="C177" s="18"/>
      <c r="D177" s="18"/>
      <c r="E177" s="18"/>
      <c r="F177" s="18"/>
      <c r="G177" s="18"/>
      <c r="H177" s="18"/>
      <c r="I177" s="18"/>
      <c r="J177" s="71"/>
      <c r="K177" s="92"/>
      <c r="L177" s="18"/>
      <c r="M177" s="39"/>
      <c r="N177" s="18"/>
      <c r="O177" s="18"/>
      <c r="P177" s="18"/>
      <c r="Q177" s="18"/>
      <c r="S177" s="18"/>
      <c r="AH177" s="1"/>
      <c r="AU177" s="1"/>
      <c r="AV177" s="1"/>
    </row>
    <row r="178" spans="1:48" ht="10.5" customHeight="1">
      <c r="A178" s="18"/>
      <c r="B178" s="93"/>
      <c r="C178" s="18"/>
      <c r="D178" s="18"/>
      <c r="E178" s="18"/>
      <c r="F178" s="18"/>
      <c r="G178" s="18"/>
      <c r="H178" s="18"/>
      <c r="I178" s="18"/>
      <c r="J178" s="71"/>
      <c r="K178" s="92"/>
      <c r="L178" s="18"/>
      <c r="M178" s="39"/>
      <c r="N178" s="18"/>
      <c r="O178" s="18"/>
      <c r="P178" s="18"/>
      <c r="Q178" s="18"/>
      <c r="S178" s="18"/>
      <c r="AH178" s="1"/>
      <c r="AU178" s="1"/>
      <c r="AV178" s="1"/>
    </row>
    <row r="179" spans="1:48" ht="12" customHeight="1">
      <c r="A179" s="18"/>
      <c r="B179" s="93"/>
      <c r="C179" s="18"/>
      <c r="D179" s="18"/>
      <c r="E179" s="18"/>
      <c r="F179" s="18"/>
      <c r="G179" s="18"/>
      <c r="H179" s="18"/>
      <c r="I179" s="18"/>
      <c r="J179" s="71"/>
      <c r="K179" s="92"/>
      <c r="L179" s="18"/>
      <c r="M179" s="39"/>
      <c r="N179" s="18"/>
      <c r="O179" s="18"/>
      <c r="P179" s="18"/>
      <c r="Q179" s="18"/>
      <c r="S179" s="18"/>
      <c r="AH179" s="1"/>
      <c r="AU179" s="1"/>
      <c r="AV179" s="1"/>
    </row>
    <row r="180" spans="1:48" ht="12" customHeight="1">
      <c r="A180" s="18"/>
      <c r="B180" s="93"/>
      <c r="C180" s="18"/>
      <c r="D180" s="18"/>
      <c r="E180" s="18"/>
      <c r="F180" s="18"/>
      <c r="G180" s="18"/>
      <c r="H180" s="18"/>
      <c r="I180" s="18"/>
      <c r="J180" s="71"/>
      <c r="K180" s="92"/>
      <c r="L180" s="18"/>
      <c r="M180" s="39"/>
      <c r="N180" s="18"/>
      <c r="O180" s="18"/>
      <c r="P180" s="18"/>
      <c r="Q180" s="18"/>
      <c r="S180" s="18"/>
      <c r="AH180" s="1"/>
      <c r="AU180" s="1"/>
      <c r="AV180" s="1"/>
    </row>
    <row r="181" spans="1:48" ht="12" customHeight="1">
      <c r="A181" s="18"/>
      <c r="B181" s="93"/>
      <c r="C181" s="18"/>
      <c r="D181" s="18"/>
      <c r="E181" s="18"/>
      <c r="F181" s="18"/>
      <c r="G181" s="18"/>
      <c r="H181" s="18"/>
      <c r="I181" s="18"/>
      <c r="J181" s="71"/>
      <c r="K181" s="92"/>
      <c r="L181" s="18"/>
      <c r="M181" s="39"/>
      <c r="N181" s="18"/>
      <c r="O181" s="18"/>
      <c r="P181" s="18"/>
      <c r="Q181" s="18"/>
      <c r="S181" s="18"/>
      <c r="AH181" s="1"/>
      <c r="AU181" s="1"/>
      <c r="AV181" s="1"/>
    </row>
    <row r="182" spans="1:48" ht="12" customHeight="1">
      <c r="A182" s="18"/>
      <c r="B182" s="93"/>
      <c r="C182" s="18"/>
      <c r="D182" s="18"/>
      <c r="E182" s="18"/>
      <c r="F182" s="18"/>
      <c r="G182" s="18"/>
      <c r="H182" s="18"/>
      <c r="I182" s="18"/>
      <c r="J182" s="71"/>
      <c r="K182" s="92"/>
      <c r="L182" s="18"/>
      <c r="M182" s="39"/>
      <c r="N182" s="18"/>
      <c r="O182" s="18"/>
      <c r="P182" s="18"/>
      <c r="Q182" s="18"/>
      <c r="S182" s="18"/>
      <c r="AH182" s="1"/>
      <c r="AU182" s="1"/>
      <c r="AV182" s="1"/>
    </row>
    <row r="183" spans="1:48" ht="12" customHeight="1">
      <c r="A183" s="18"/>
      <c r="B183" s="93"/>
      <c r="C183" s="18"/>
      <c r="D183" s="18"/>
      <c r="E183" s="18"/>
      <c r="F183" s="18"/>
      <c r="G183" s="18"/>
      <c r="H183" s="18"/>
      <c r="I183" s="18"/>
      <c r="J183" s="71"/>
      <c r="K183" s="92"/>
      <c r="L183" s="18"/>
      <c r="M183" s="39"/>
      <c r="N183" s="18"/>
      <c r="O183" s="18"/>
      <c r="P183" s="18"/>
      <c r="Q183" s="18"/>
      <c r="S183" s="18"/>
      <c r="AH183" s="1"/>
      <c r="AU183" s="1"/>
      <c r="AV183" s="1"/>
    </row>
    <row r="184" spans="1:48" ht="12" customHeight="1">
      <c r="A184" s="18"/>
      <c r="B184" s="93"/>
      <c r="C184" s="18"/>
      <c r="D184" s="18"/>
      <c r="E184" s="18"/>
      <c r="F184" s="18"/>
      <c r="G184" s="18"/>
      <c r="H184" s="18"/>
      <c r="I184" s="18"/>
      <c r="J184" s="71"/>
      <c r="K184" s="92"/>
      <c r="L184" s="18"/>
      <c r="M184" s="39"/>
      <c r="N184" s="18"/>
      <c r="O184" s="18"/>
      <c r="P184" s="18"/>
      <c r="Q184" s="18"/>
      <c r="S184" s="18"/>
      <c r="AH184" s="1"/>
      <c r="AU184" s="1"/>
      <c r="AV184" s="1"/>
    </row>
    <row r="185" spans="1:48" ht="12" customHeight="1">
      <c r="A185" s="18"/>
      <c r="B185" s="93"/>
      <c r="C185" s="18"/>
      <c r="D185" s="18"/>
      <c r="E185" s="18"/>
      <c r="F185" s="18"/>
      <c r="G185" s="18"/>
      <c r="H185" s="18"/>
      <c r="I185" s="18"/>
      <c r="J185" s="71"/>
      <c r="K185" s="92"/>
      <c r="L185" s="18"/>
      <c r="M185" s="39"/>
      <c r="N185" s="18"/>
      <c r="O185" s="18"/>
      <c r="P185" s="18"/>
      <c r="Q185" s="18"/>
      <c r="S185" s="18"/>
      <c r="AH185" s="1"/>
      <c r="AU185" s="1"/>
      <c r="AV185" s="1"/>
    </row>
    <row r="186" spans="1:48" ht="12" customHeight="1">
      <c r="A186" s="18"/>
      <c r="B186" s="93"/>
      <c r="C186" s="18"/>
      <c r="D186" s="18"/>
      <c r="E186" s="18"/>
      <c r="F186" s="18"/>
      <c r="G186" s="18"/>
      <c r="H186" s="18"/>
      <c r="I186" s="18"/>
      <c r="J186" s="71"/>
      <c r="K186" s="92"/>
      <c r="L186" s="18"/>
      <c r="M186" s="39"/>
      <c r="N186" s="18"/>
      <c r="O186" s="18"/>
      <c r="P186" s="18"/>
      <c r="Q186" s="18"/>
      <c r="S186" s="18"/>
      <c r="AH186" s="1"/>
      <c r="AU186" s="1"/>
      <c r="AV186" s="1"/>
    </row>
    <row r="187" spans="1:48" ht="12" customHeight="1">
      <c r="A187" s="18"/>
      <c r="B187" s="93"/>
      <c r="C187" s="18"/>
      <c r="D187" s="18"/>
      <c r="E187" s="18"/>
      <c r="F187" s="18"/>
      <c r="G187" s="18"/>
      <c r="H187" s="18"/>
      <c r="I187" s="18"/>
      <c r="J187" s="71"/>
      <c r="K187" s="92"/>
      <c r="L187" s="18"/>
      <c r="M187" s="39"/>
      <c r="N187" s="18"/>
      <c r="O187" s="18"/>
      <c r="P187" s="18"/>
      <c r="Q187" s="18"/>
      <c r="S187" s="18"/>
      <c r="AH187" s="1"/>
      <c r="AU187" s="1"/>
      <c r="AV187" s="1"/>
    </row>
    <row r="188" spans="1:48" ht="12" customHeight="1">
      <c r="A188" s="18"/>
      <c r="B188" s="93"/>
      <c r="C188" s="18"/>
      <c r="D188" s="18"/>
      <c r="E188" s="18"/>
      <c r="F188" s="18"/>
      <c r="G188" s="18"/>
      <c r="H188" s="18"/>
      <c r="I188" s="18"/>
      <c r="J188" s="71"/>
      <c r="K188" s="92"/>
      <c r="L188" s="18"/>
      <c r="M188" s="39"/>
      <c r="N188" s="18"/>
      <c r="O188" s="18"/>
      <c r="P188" s="18"/>
      <c r="Q188" s="18"/>
      <c r="S188" s="18"/>
      <c r="AH188" s="1"/>
      <c r="AU188" s="1"/>
      <c r="AV188" s="1"/>
    </row>
    <row r="189" spans="1:48" ht="12" customHeight="1">
      <c r="A189" s="18"/>
      <c r="B189" s="93"/>
      <c r="C189" s="18"/>
      <c r="D189" s="18"/>
      <c r="E189" s="18"/>
      <c r="F189" s="18"/>
      <c r="G189" s="18"/>
      <c r="H189" s="18"/>
      <c r="I189" s="18"/>
      <c r="J189" s="71"/>
      <c r="K189" s="92"/>
      <c r="L189" s="18"/>
      <c r="M189" s="39"/>
      <c r="N189" s="18"/>
      <c r="O189" s="18"/>
      <c r="P189" s="18"/>
      <c r="Q189" s="18"/>
      <c r="S189" s="18"/>
      <c r="AH189" s="1"/>
      <c r="AU189" s="1"/>
      <c r="AV189" s="1"/>
    </row>
    <row r="190" spans="1:48" ht="12" customHeight="1">
      <c r="A190" s="18"/>
      <c r="B190" s="93"/>
      <c r="C190" s="18"/>
      <c r="D190" s="18"/>
      <c r="E190" s="18"/>
      <c r="F190" s="18"/>
      <c r="G190" s="18"/>
      <c r="H190" s="18"/>
      <c r="I190" s="18"/>
      <c r="J190" s="71"/>
      <c r="K190" s="92"/>
      <c r="L190" s="18"/>
      <c r="M190" s="39"/>
      <c r="N190" s="18"/>
      <c r="O190" s="18"/>
      <c r="P190" s="18"/>
      <c r="Q190" s="18"/>
      <c r="S190" s="18"/>
      <c r="AH190" s="1"/>
      <c r="AU190" s="1"/>
      <c r="AV190" s="1"/>
    </row>
    <row r="191" spans="1:48" ht="12" customHeight="1">
      <c r="A191" s="18"/>
      <c r="B191" s="93"/>
      <c r="C191" s="18"/>
      <c r="D191" s="18"/>
      <c r="E191" s="18"/>
      <c r="F191" s="18"/>
      <c r="G191" s="18"/>
      <c r="H191" s="18"/>
      <c r="I191" s="18"/>
      <c r="J191" s="71"/>
      <c r="K191" s="92"/>
      <c r="L191" s="18"/>
      <c r="M191" s="39"/>
      <c r="N191" s="18"/>
      <c r="O191" s="18"/>
      <c r="P191" s="18"/>
      <c r="Q191" s="18"/>
      <c r="S191" s="18"/>
      <c r="AH191" s="1"/>
      <c r="AU191" s="1"/>
      <c r="AV191" s="1"/>
    </row>
    <row r="192" spans="1:48" ht="12" customHeight="1">
      <c r="A192" s="18"/>
      <c r="B192" s="93"/>
      <c r="C192" s="18"/>
      <c r="D192" s="18"/>
      <c r="E192" s="18"/>
      <c r="F192" s="18"/>
      <c r="G192" s="18"/>
      <c r="H192" s="18"/>
      <c r="I192" s="18"/>
      <c r="J192" s="71"/>
      <c r="K192" s="92"/>
      <c r="L192" s="18"/>
      <c r="M192" s="39"/>
      <c r="N192" s="18"/>
      <c r="O192" s="18"/>
      <c r="P192" s="18"/>
      <c r="Q192" s="18"/>
      <c r="S192" s="18"/>
      <c r="AH192" s="1"/>
      <c r="AU192" s="1"/>
      <c r="AV192" s="1"/>
    </row>
    <row r="193" spans="1:48" ht="12" customHeight="1">
      <c r="A193" s="18"/>
      <c r="B193" s="93"/>
      <c r="C193" s="18"/>
      <c r="D193" s="18"/>
      <c r="E193" s="18"/>
      <c r="F193" s="18"/>
      <c r="G193" s="18"/>
      <c r="H193" s="18"/>
      <c r="I193" s="18"/>
      <c r="J193" s="71"/>
      <c r="K193" s="92"/>
      <c r="L193" s="18"/>
      <c r="M193" s="39"/>
      <c r="N193" s="18"/>
      <c r="O193" s="18"/>
      <c r="P193" s="18"/>
      <c r="Q193" s="18"/>
      <c r="S193" s="18"/>
      <c r="AH193" s="1"/>
      <c r="AU193" s="1"/>
      <c r="AV193" s="1"/>
    </row>
    <row r="194" spans="1:48" ht="12" customHeight="1">
      <c r="A194" s="18"/>
      <c r="B194" s="93"/>
      <c r="C194" s="18"/>
      <c r="D194" s="18"/>
      <c r="E194" s="18"/>
      <c r="F194" s="18"/>
      <c r="G194" s="18"/>
      <c r="H194" s="18"/>
      <c r="I194" s="18"/>
      <c r="J194" s="71"/>
      <c r="K194" s="92"/>
      <c r="L194" s="18"/>
      <c r="M194" s="39"/>
      <c r="N194" s="18"/>
      <c r="O194" s="18"/>
      <c r="P194" s="18"/>
      <c r="Q194" s="18"/>
      <c r="S194" s="18"/>
      <c r="AH194" s="1"/>
      <c r="AU194" s="1"/>
      <c r="AV194" s="1"/>
    </row>
    <row r="195" spans="1:48" ht="12" customHeight="1">
      <c r="A195" s="18"/>
      <c r="B195" s="93"/>
      <c r="C195" s="18"/>
      <c r="D195" s="18"/>
      <c r="E195" s="18"/>
      <c r="F195" s="18"/>
      <c r="G195" s="18"/>
      <c r="H195" s="18"/>
      <c r="I195" s="18"/>
      <c r="J195" s="71"/>
      <c r="K195" s="92"/>
      <c r="L195" s="18"/>
      <c r="M195" s="39"/>
      <c r="N195" s="18"/>
      <c r="O195" s="18"/>
      <c r="P195" s="18"/>
      <c r="Q195" s="18"/>
      <c r="S195" s="18"/>
      <c r="AH195" s="1"/>
      <c r="AU195" s="1"/>
      <c r="AV195" s="1"/>
    </row>
    <row r="196" spans="1:48" ht="12" customHeight="1">
      <c r="A196" s="18"/>
      <c r="B196" s="93"/>
      <c r="C196" s="18"/>
      <c r="D196" s="18"/>
      <c r="E196" s="18"/>
      <c r="F196" s="18"/>
      <c r="G196" s="18"/>
      <c r="H196" s="18"/>
      <c r="I196" s="18"/>
      <c r="J196" s="71"/>
      <c r="K196" s="92"/>
      <c r="L196" s="18"/>
      <c r="M196" s="39"/>
      <c r="N196" s="18"/>
      <c r="O196" s="18"/>
      <c r="P196" s="18"/>
      <c r="Q196" s="18"/>
      <c r="S196" s="18"/>
      <c r="AH196" s="1"/>
      <c r="AU196" s="1"/>
      <c r="AV196" s="1"/>
    </row>
    <row r="197" spans="1:48" ht="12" customHeight="1">
      <c r="A197" s="18"/>
      <c r="B197" s="93"/>
      <c r="C197" s="18"/>
      <c r="D197" s="18"/>
      <c r="E197" s="18"/>
      <c r="F197" s="18"/>
      <c r="G197" s="18"/>
      <c r="H197" s="18"/>
      <c r="I197" s="18"/>
      <c r="J197" s="71"/>
      <c r="K197" s="92"/>
      <c r="L197" s="18"/>
      <c r="M197" s="39"/>
      <c r="N197" s="18"/>
      <c r="O197" s="18"/>
      <c r="P197" s="18"/>
      <c r="Q197" s="18"/>
      <c r="S197" s="18"/>
      <c r="AH197" s="1"/>
      <c r="AU197" s="1"/>
      <c r="AV197" s="1"/>
    </row>
    <row r="198" spans="1:48" ht="12" customHeight="1">
      <c r="A198" s="18"/>
      <c r="B198" s="93"/>
      <c r="C198" s="18"/>
      <c r="D198" s="18"/>
      <c r="E198" s="18"/>
      <c r="F198" s="18"/>
      <c r="G198" s="18"/>
      <c r="H198" s="18"/>
      <c r="I198" s="18"/>
      <c r="J198" s="71"/>
      <c r="K198" s="92"/>
      <c r="L198" s="18"/>
      <c r="M198" s="39"/>
      <c r="N198" s="18"/>
      <c r="O198" s="18"/>
      <c r="P198" s="18"/>
      <c r="Q198" s="18"/>
      <c r="S198" s="18"/>
      <c r="AH198" s="1"/>
      <c r="AU198" s="1"/>
      <c r="AV198" s="1"/>
    </row>
    <row r="199" spans="1:48" ht="12" customHeight="1">
      <c r="A199" s="18"/>
      <c r="B199" s="93"/>
      <c r="C199" s="18"/>
      <c r="D199" s="18"/>
      <c r="E199" s="18"/>
      <c r="F199" s="18"/>
      <c r="G199" s="18"/>
      <c r="H199" s="18"/>
      <c r="I199" s="18"/>
      <c r="J199" s="71"/>
      <c r="K199" s="92"/>
      <c r="L199" s="18"/>
      <c r="M199" s="39"/>
      <c r="N199" s="18"/>
      <c r="O199" s="18"/>
      <c r="P199" s="18"/>
      <c r="Q199" s="18"/>
      <c r="S199" s="18"/>
      <c r="AH199" s="1"/>
      <c r="AU199" s="1"/>
      <c r="AV199" s="1"/>
    </row>
    <row r="200" spans="1:48" ht="12" customHeight="1">
      <c r="A200" s="18"/>
      <c r="B200" s="93"/>
      <c r="C200" s="18"/>
      <c r="D200" s="18"/>
      <c r="E200" s="18"/>
      <c r="F200" s="18"/>
      <c r="G200" s="18"/>
      <c r="H200" s="18"/>
      <c r="I200" s="18"/>
      <c r="J200" s="71"/>
      <c r="K200" s="92"/>
      <c r="L200" s="18"/>
      <c r="M200" s="39"/>
      <c r="N200" s="18"/>
      <c r="O200" s="18"/>
      <c r="P200" s="18"/>
      <c r="Q200" s="18"/>
      <c r="S200" s="18"/>
      <c r="AH200" s="1"/>
      <c r="AU200" s="1"/>
      <c r="AV200" s="1"/>
    </row>
    <row r="201" spans="1:48" ht="12" customHeight="1">
      <c r="A201" s="18"/>
      <c r="B201" s="93"/>
      <c r="C201" s="18"/>
      <c r="D201" s="18"/>
      <c r="E201" s="18"/>
      <c r="F201" s="18"/>
      <c r="G201" s="18"/>
      <c r="H201" s="18"/>
      <c r="I201" s="18"/>
      <c r="J201" s="71"/>
      <c r="K201" s="92"/>
      <c r="L201" s="18"/>
      <c r="M201" s="39"/>
      <c r="N201" s="18"/>
      <c r="O201" s="18"/>
      <c r="P201" s="18"/>
      <c r="Q201" s="18"/>
      <c r="S201" s="18"/>
      <c r="AH201" s="1"/>
      <c r="AU201" s="1"/>
      <c r="AV201" s="1"/>
    </row>
    <row r="202" spans="1:48" ht="12" customHeight="1">
      <c r="A202" s="18"/>
      <c r="B202" s="93"/>
      <c r="C202" s="18"/>
      <c r="D202" s="18"/>
      <c r="E202" s="18"/>
      <c r="F202" s="18"/>
      <c r="G202" s="18"/>
      <c r="H202" s="18"/>
      <c r="I202" s="18"/>
      <c r="J202" s="71"/>
      <c r="K202" s="92"/>
      <c r="L202" s="18"/>
      <c r="M202" s="39"/>
      <c r="N202" s="18"/>
      <c r="O202" s="18"/>
      <c r="P202" s="18"/>
      <c r="Q202" s="18"/>
      <c r="S202" s="18"/>
      <c r="AH202" s="1"/>
      <c r="AU202" s="1"/>
      <c r="AV202" s="1"/>
    </row>
    <row r="203" spans="1:48" ht="12" customHeight="1">
      <c r="A203" s="18"/>
      <c r="B203" s="93"/>
      <c r="C203" s="18"/>
      <c r="D203" s="18"/>
      <c r="E203" s="18"/>
      <c r="F203" s="18"/>
      <c r="G203" s="18"/>
      <c r="H203" s="18"/>
      <c r="I203" s="18"/>
      <c r="J203" s="71"/>
      <c r="K203" s="92"/>
      <c r="L203" s="18"/>
      <c r="M203" s="39"/>
      <c r="N203" s="18"/>
      <c r="O203" s="18"/>
      <c r="P203" s="18"/>
      <c r="Q203" s="18"/>
      <c r="S203" s="18"/>
      <c r="AH203" s="1"/>
      <c r="AU203" s="1"/>
      <c r="AV203" s="1"/>
    </row>
    <row r="204" spans="1:48" ht="12" customHeight="1">
      <c r="A204" s="18"/>
      <c r="B204" s="93"/>
      <c r="C204" s="18"/>
      <c r="D204" s="18"/>
      <c r="E204" s="18"/>
      <c r="F204" s="18"/>
      <c r="G204" s="18"/>
      <c r="H204" s="18"/>
      <c r="I204" s="18"/>
      <c r="J204" s="71"/>
      <c r="K204" s="92"/>
      <c r="L204" s="18"/>
      <c r="M204" s="39"/>
      <c r="N204" s="18"/>
      <c r="O204" s="18"/>
      <c r="P204" s="18"/>
      <c r="Q204" s="18"/>
      <c r="S204" s="18"/>
      <c r="AH204" s="1"/>
      <c r="AU204" s="1"/>
      <c r="AV204" s="1"/>
    </row>
    <row r="205" spans="1:48" ht="12" customHeight="1">
      <c r="A205" s="18"/>
      <c r="B205" s="93"/>
      <c r="C205" s="18"/>
      <c r="D205" s="18"/>
      <c r="E205" s="18"/>
      <c r="F205" s="18"/>
      <c r="G205" s="18"/>
      <c r="H205" s="18"/>
      <c r="I205" s="18"/>
      <c r="J205" s="71"/>
      <c r="K205" s="92"/>
      <c r="L205" s="18"/>
      <c r="M205" s="39"/>
      <c r="N205" s="18"/>
      <c r="O205" s="18"/>
      <c r="P205" s="18"/>
      <c r="Q205" s="18"/>
      <c r="S205" s="18"/>
      <c r="AH205" s="1"/>
      <c r="AU205" s="1"/>
      <c r="AV205" s="1"/>
    </row>
    <row r="206" spans="1:48" ht="12" customHeight="1">
      <c r="A206" s="18"/>
      <c r="B206" s="93"/>
      <c r="C206" s="18"/>
      <c r="D206" s="18"/>
      <c r="E206" s="18"/>
      <c r="F206" s="18"/>
      <c r="G206" s="18"/>
      <c r="H206" s="18"/>
      <c r="I206" s="18"/>
      <c r="J206" s="71"/>
      <c r="K206" s="92"/>
      <c r="L206" s="18"/>
      <c r="M206" s="39"/>
      <c r="N206" s="18"/>
      <c r="O206" s="18"/>
      <c r="P206" s="18"/>
      <c r="Q206" s="18"/>
      <c r="S206" s="18"/>
      <c r="AH206" s="1"/>
      <c r="AU206" s="1"/>
      <c r="AV206" s="1"/>
    </row>
    <row r="207" spans="1:48" ht="12" customHeight="1">
      <c r="A207" s="18"/>
      <c r="B207" s="93"/>
      <c r="C207" s="18"/>
      <c r="D207" s="18"/>
      <c r="E207" s="18"/>
      <c r="F207" s="18"/>
      <c r="G207" s="18"/>
      <c r="H207" s="18"/>
      <c r="I207" s="18"/>
      <c r="J207" s="71"/>
      <c r="K207" s="92"/>
      <c r="L207" s="18"/>
      <c r="M207" s="39"/>
      <c r="N207" s="18"/>
      <c r="O207" s="18"/>
      <c r="P207" s="18"/>
      <c r="Q207" s="18"/>
      <c r="S207" s="18"/>
      <c r="AH207" s="1"/>
      <c r="AU207" s="1"/>
      <c r="AV207" s="1"/>
    </row>
    <row r="208" spans="1:48" ht="12" customHeight="1">
      <c r="A208" s="18"/>
      <c r="B208" s="93"/>
      <c r="C208" s="18"/>
      <c r="D208" s="18"/>
      <c r="E208" s="18"/>
      <c r="F208" s="18"/>
      <c r="G208" s="18"/>
      <c r="H208" s="18"/>
      <c r="I208" s="18"/>
      <c r="J208" s="71"/>
      <c r="K208" s="92"/>
      <c r="L208" s="18"/>
      <c r="M208" s="39"/>
      <c r="N208" s="18"/>
      <c r="O208" s="18"/>
      <c r="P208" s="18"/>
      <c r="Q208" s="18"/>
      <c r="S208" s="18"/>
      <c r="AH208" s="1"/>
      <c r="AU208" s="1"/>
      <c r="AV208" s="1"/>
    </row>
    <row r="209" spans="1:48" ht="12" customHeight="1">
      <c r="A209" s="18"/>
      <c r="B209" s="93"/>
      <c r="C209" s="18"/>
      <c r="D209" s="18"/>
      <c r="E209" s="18"/>
      <c r="F209" s="18"/>
      <c r="G209" s="18"/>
      <c r="H209" s="18"/>
      <c r="I209" s="18"/>
      <c r="J209" s="71"/>
      <c r="K209" s="92"/>
      <c r="L209" s="18"/>
      <c r="M209" s="39"/>
      <c r="N209" s="18"/>
      <c r="O209" s="18"/>
      <c r="P209" s="18"/>
      <c r="Q209" s="18"/>
      <c r="S209" s="18"/>
      <c r="AH209" s="1"/>
      <c r="AU209" s="1"/>
      <c r="AV209" s="1"/>
    </row>
    <row r="210" spans="1:48" ht="12" customHeight="1">
      <c r="A210" s="18"/>
      <c r="B210" s="93"/>
      <c r="C210" s="18"/>
      <c r="D210" s="18"/>
      <c r="E210" s="18"/>
      <c r="F210" s="18"/>
      <c r="G210" s="18"/>
      <c r="H210" s="18"/>
      <c r="I210" s="18"/>
      <c r="J210" s="71"/>
      <c r="K210" s="92"/>
      <c r="L210" s="18"/>
      <c r="M210" s="39"/>
      <c r="N210" s="18"/>
      <c r="O210" s="18"/>
      <c r="P210" s="18"/>
      <c r="Q210" s="18"/>
      <c r="S210" s="18"/>
      <c r="AH210" s="1"/>
      <c r="AU210" s="1"/>
      <c r="AV210" s="1"/>
    </row>
    <row r="211" spans="1:48" ht="12" customHeight="1">
      <c r="A211" s="18"/>
      <c r="B211" s="93"/>
      <c r="C211" s="18"/>
      <c r="D211" s="18"/>
      <c r="E211" s="18"/>
      <c r="F211" s="18"/>
      <c r="G211" s="18"/>
      <c r="H211" s="18"/>
      <c r="I211" s="18"/>
      <c r="J211" s="71"/>
      <c r="K211" s="92"/>
      <c r="L211" s="18"/>
      <c r="M211" s="39"/>
      <c r="N211" s="18"/>
      <c r="O211" s="18"/>
      <c r="P211" s="18"/>
      <c r="Q211" s="18"/>
      <c r="S211" s="18"/>
      <c r="AH211" s="1"/>
      <c r="AU211" s="1"/>
      <c r="AV211" s="1"/>
    </row>
    <row r="212" spans="1:48" ht="12" customHeight="1">
      <c r="A212" s="18"/>
      <c r="B212" s="93"/>
      <c r="C212" s="18"/>
      <c r="D212" s="18"/>
      <c r="E212" s="18"/>
      <c r="F212" s="18"/>
      <c r="G212" s="18"/>
      <c r="H212" s="18"/>
      <c r="I212" s="18"/>
      <c r="J212" s="71"/>
      <c r="K212" s="92"/>
      <c r="L212" s="18"/>
      <c r="M212" s="39"/>
      <c r="N212" s="18"/>
      <c r="O212" s="18"/>
      <c r="P212" s="18"/>
      <c r="Q212" s="18"/>
      <c r="S212" s="18"/>
      <c r="AH212" s="1"/>
      <c r="AU212" s="1"/>
      <c r="AV212" s="1"/>
    </row>
    <row r="213" spans="1:48" ht="12" customHeight="1">
      <c r="A213" s="18"/>
      <c r="B213" s="93"/>
      <c r="C213" s="18"/>
      <c r="D213" s="18"/>
      <c r="E213" s="18"/>
      <c r="F213" s="18"/>
      <c r="G213" s="18"/>
      <c r="H213" s="18"/>
      <c r="I213" s="18"/>
      <c r="J213" s="71"/>
      <c r="K213" s="92"/>
      <c r="L213" s="18"/>
      <c r="M213" s="39"/>
      <c r="N213" s="18"/>
      <c r="O213" s="18"/>
      <c r="P213" s="18"/>
      <c r="Q213" s="18"/>
      <c r="S213" s="18"/>
      <c r="AH213" s="1"/>
      <c r="AU213" s="1"/>
      <c r="AV213" s="1"/>
    </row>
    <row r="214" spans="1:48" ht="12" customHeight="1">
      <c r="A214" s="18"/>
      <c r="B214" s="93"/>
      <c r="C214" s="18"/>
      <c r="D214" s="18"/>
      <c r="E214" s="18"/>
      <c r="F214" s="18"/>
      <c r="G214" s="18"/>
      <c r="H214" s="18"/>
      <c r="I214" s="18"/>
      <c r="J214" s="71"/>
      <c r="K214" s="92"/>
      <c r="L214" s="18"/>
      <c r="M214" s="39"/>
      <c r="N214" s="18"/>
      <c r="O214" s="18"/>
      <c r="P214" s="18"/>
      <c r="Q214" s="18"/>
      <c r="S214" s="18"/>
      <c r="AH214" s="1"/>
      <c r="AU214" s="1"/>
      <c r="AV214" s="1"/>
    </row>
    <row r="215" spans="1:48" ht="12" customHeight="1">
      <c r="A215" s="18"/>
      <c r="B215" s="93"/>
      <c r="C215" s="18"/>
      <c r="D215" s="18"/>
      <c r="E215" s="18"/>
      <c r="F215" s="18"/>
      <c r="G215" s="18"/>
      <c r="H215" s="18"/>
      <c r="I215" s="18"/>
      <c r="J215" s="71"/>
      <c r="K215" s="92"/>
      <c r="L215" s="18"/>
      <c r="M215" s="39"/>
      <c r="N215" s="18"/>
      <c r="O215" s="18"/>
      <c r="P215" s="18"/>
      <c r="Q215" s="18"/>
      <c r="S215" s="18"/>
      <c r="AH215" s="1"/>
      <c r="AU215" s="1"/>
      <c r="AV215" s="1"/>
    </row>
    <row r="216" spans="1:48" ht="12" customHeight="1">
      <c r="A216" s="18"/>
      <c r="B216" s="93"/>
      <c r="C216" s="18"/>
      <c r="D216" s="18"/>
      <c r="E216" s="18"/>
      <c r="F216" s="18"/>
      <c r="G216" s="18"/>
      <c r="H216" s="18"/>
      <c r="I216" s="18"/>
      <c r="J216" s="71"/>
      <c r="K216" s="92"/>
      <c r="L216" s="18"/>
      <c r="M216" s="39"/>
      <c r="N216" s="18"/>
      <c r="O216" s="18"/>
      <c r="P216" s="18"/>
      <c r="Q216" s="18"/>
      <c r="S216" s="18"/>
      <c r="AH216" s="1"/>
      <c r="AU216" s="1"/>
      <c r="AV216" s="1"/>
    </row>
    <row r="217" spans="1:48" ht="12" customHeight="1">
      <c r="A217" s="18"/>
      <c r="B217" s="93"/>
      <c r="C217" s="18"/>
      <c r="D217" s="18"/>
      <c r="E217" s="18"/>
      <c r="F217" s="18"/>
      <c r="G217" s="18"/>
      <c r="H217" s="18"/>
      <c r="I217" s="18"/>
      <c r="J217" s="71"/>
      <c r="K217" s="92"/>
      <c r="L217" s="18"/>
      <c r="M217" s="39"/>
      <c r="N217" s="18"/>
      <c r="O217" s="18"/>
      <c r="P217" s="18"/>
      <c r="Q217" s="18"/>
      <c r="S217" s="18"/>
      <c r="AH217" s="1"/>
      <c r="AU217" s="1"/>
      <c r="AV217" s="1"/>
    </row>
    <row r="218" spans="1:48" ht="12" customHeight="1">
      <c r="A218" s="18"/>
      <c r="B218" s="93"/>
      <c r="C218" s="18"/>
      <c r="D218" s="18"/>
      <c r="E218" s="18"/>
      <c r="F218" s="18"/>
      <c r="G218" s="18"/>
      <c r="H218" s="18"/>
      <c r="I218" s="18"/>
      <c r="J218" s="71"/>
      <c r="K218" s="92"/>
      <c r="L218" s="18"/>
      <c r="M218" s="39"/>
      <c r="N218" s="18"/>
      <c r="O218" s="18"/>
      <c r="P218" s="18"/>
      <c r="Q218" s="18"/>
      <c r="S218" s="18"/>
      <c r="AH218" s="1"/>
      <c r="AU218" s="1"/>
      <c r="AV218" s="1"/>
    </row>
    <row r="219" spans="1:48" ht="12" customHeight="1">
      <c r="A219" s="18"/>
      <c r="B219" s="93"/>
      <c r="C219" s="18"/>
      <c r="D219" s="18"/>
      <c r="E219" s="18"/>
      <c r="F219" s="18"/>
      <c r="G219" s="18"/>
      <c r="H219" s="18"/>
      <c r="I219" s="18"/>
      <c r="J219" s="71"/>
      <c r="K219" s="92"/>
      <c r="L219" s="18"/>
      <c r="M219" s="39"/>
      <c r="N219" s="18"/>
      <c r="O219" s="18"/>
      <c r="P219" s="18"/>
      <c r="Q219" s="18"/>
      <c r="S219" s="18"/>
      <c r="AH219" s="1"/>
      <c r="AU219" s="1"/>
      <c r="AV219" s="1"/>
    </row>
    <row r="220" spans="1:48" ht="12" customHeight="1">
      <c r="A220" s="18"/>
      <c r="B220" s="93"/>
      <c r="C220" s="18"/>
      <c r="D220" s="18"/>
      <c r="E220" s="18"/>
      <c r="F220" s="18"/>
      <c r="G220" s="18"/>
      <c r="H220" s="18"/>
      <c r="I220" s="18"/>
      <c r="J220" s="71"/>
      <c r="K220" s="92"/>
      <c r="L220" s="18"/>
      <c r="M220" s="39"/>
      <c r="N220" s="18"/>
      <c r="O220" s="18"/>
      <c r="P220" s="18"/>
      <c r="Q220" s="18"/>
      <c r="S220" s="18"/>
      <c r="AH220" s="1"/>
      <c r="AU220" s="1"/>
      <c r="AV220" s="1"/>
    </row>
    <row r="221" spans="1:48" ht="12" customHeight="1">
      <c r="A221" s="18"/>
      <c r="B221" s="93"/>
      <c r="C221" s="18"/>
      <c r="D221" s="18"/>
      <c r="E221" s="18"/>
      <c r="F221" s="18"/>
      <c r="G221" s="18"/>
      <c r="H221" s="18"/>
      <c r="I221" s="18"/>
      <c r="J221" s="71"/>
      <c r="K221" s="92"/>
      <c r="L221" s="18"/>
      <c r="M221" s="39"/>
      <c r="N221" s="18"/>
      <c r="O221" s="18"/>
      <c r="P221" s="18"/>
      <c r="Q221" s="18"/>
      <c r="S221" s="18"/>
      <c r="AH221" s="1"/>
      <c r="AU221" s="1"/>
      <c r="AV221" s="1"/>
    </row>
    <row r="222" spans="1:48" ht="12" customHeight="1">
      <c r="A222" s="18"/>
      <c r="B222" s="93"/>
      <c r="C222" s="18"/>
      <c r="D222" s="18"/>
      <c r="E222" s="18"/>
      <c r="F222" s="18"/>
      <c r="G222" s="18"/>
      <c r="H222" s="18"/>
      <c r="I222" s="18"/>
      <c r="J222" s="71"/>
      <c r="K222" s="92"/>
      <c r="L222" s="18"/>
      <c r="M222" s="39"/>
      <c r="N222" s="18"/>
      <c r="O222" s="18"/>
      <c r="P222" s="18"/>
      <c r="Q222" s="18"/>
      <c r="S222" s="18"/>
      <c r="AH222" s="1"/>
      <c r="AU222" s="1"/>
      <c r="AV222" s="1"/>
    </row>
    <row r="223" spans="1:48" ht="12" customHeight="1">
      <c r="A223" s="18"/>
      <c r="B223" s="93"/>
      <c r="C223" s="18"/>
      <c r="D223" s="18"/>
      <c r="E223" s="18"/>
      <c r="F223" s="18"/>
      <c r="G223" s="18"/>
      <c r="H223" s="18"/>
      <c r="I223" s="18"/>
      <c r="J223" s="71"/>
      <c r="K223" s="92"/>
      <c r="L223" s="18"/>
      <c r="M223" s="39"/>
      <c r="N223" s="18"/>
      <c r="O223" s="18"/>
      <c r="P223" s="18"/>
      <c r="Q223" s="18"/>
      <c r="S223" s="18"/>
      <c r="AH223" s="1"/>
      <c r="AU223" s="1"/>
      <c r="AV223" s="1"/>
    </row>
    <row r="224" spans="1:48" ht="12" customHeight="1">
      <c r="A224" s="18"/>
      <c r="B224" s="93"/>
      <c r="C224" s="18"/>
      <c r="D224" s="18"/>
      <c r="E224" s="18"/>
      <c r="F224" s="18"/>
      <c r="G224" s="18"/>
      <c r="H224" s="18"/>
      <c r="I224" s="18"/>
      <c r="J224" s="71"/>
      <c r="K224" s="92"/>
      <c r="L224" s="18"/>
      <c r="M224" s="39"/>
      <c r="N224" s="18"/>
      <c r="O224" s="18"/>
      <c r="P224" s="18"/>
      <c r="Q224" s="18"/>
      <c r="S224" s="18"/>
      <c r="AH224" s="1"/>
      <c r="AU224" s="1"/>
      <c r="AV224" s="1"/>
    </row>
    <row r="225" spans="1:48" ht="12" customHeight="1">
      <c r="A225" s="18"/>
      <c r="B225" s="93"/>
      <c r="C225" s="18"/>
      <c r="D225" s="18"/>
      <c r="E225" s="18"/>
      <c r="F225" s="18"/>
      <c r="G225" s="18"/>
      <c r="H225" s="18"/>
      <c r="I225" s="18"/>
      <c r="J225" s="71"/>
      <c r="K225" s="92"/>
      <c r="L225" s="18"/>
      <c r="M225" s="39"/>
      <c r="N225" s="18"/>
      <c r="O225" s="18"/>
      <c r="P225" s="18"/>
      <c r="Q225" s="18"/>
      <c r="S225" s="18"/>
      <c r="AH225" s="1"/>
      <c r="AU225" s="1"/>
      <c r="AV225" s="1"/>
    </row>
    <row r="226" spans="1:48" ht="12" customHeight="1">
      <c r="A226" s="18"/>
      <c r="B226" s="93"/>
      <c r="C226" s="18"/>
      <c r="D226" s="18"/>
      <c r="E226" s="18"/>
      <c r="F226" s="18"/>
      <c r="G226" s="18"/>
      <c r="H226" s="18"/>
      <c r="I226" s="18"/>
      <c r="J226" s="71"/>
      <c r="K226" s="92"/>
      <c r="L226" s="18"/>
      <c r="M226" s="39"/>
      <c r="N226" s="18"/>
      <c r="O226" s="18"/>
      <c r="P226" s="18"/>
      <c r="Q226" s="18"/>
      <c r="S226" s="18"/>
      <c r="AH226" s="1"/>
      <c r="AU226" s="1"/>
      <c r="AV226" s="1"/>
    </row>
    <row r="227" spans="1:48" ht="12" customHeight="1">
      <c r="A227" s="18"/>
      <c r="B227" s="93"/>
      <c r="C227" s="18"/>
      <c r="D227" s="18"/>
      <c r="E227" s="18"/>
      <c r="F227" s="18"/>
      <c r="G227" s="18"/>
      <c r="H227" s="18"/>
      <c r="I227" s="18"/>
      <c r="J227" s="71"/>
      <c r="K227" s="92"/>
      <c r="L227" s="18"/>
      <c r="M227" s="39"/>
      <c r="N227" s="18"/>
      <c r="O227" s="18"/>
      <c r="P227" s="18"/>
      <c r="Q227" s="18"/>
      <c r="S227" s="18"/>
      <c r="AH227" s="1"/>
      <c r="AU227" s="1"/>
      <c r="AV227" s="1"/>
    </row>
    <row r="228" spans="1:48" ht="12" customHeight="1">
      <c r="A228" s="18"/>
      <c r="B228" s="93"/>
      <c r="C228" s="18"/>
      <c r="D228" s="18"/>
      <c r="E228" s="18"/>
      <c r="F228" s="18"/>
      <c r="G228" s="18"/>
      <c r="H228" s="18"/>
      <c r="I228" s="18"/>
      <c r="J228" s="71"/>
      <c r="K228" s="92"/>
      <c r="L228" s="18"/>
      <c r="M228" s="39"/>
      <c r="N228" s="18"/>
      <c r="O228" s="18"/>
      <c r="P228" s="18"/>
      <c r="Q228" s="18"/>
      <c r="S228" s="18"/>
      <c r="AH228" s="1"/>
      <c r="AU228" s="1"/>
      <c r="AV228" s="1"/>
    </row>
    <row r="229" spans="1:48" ht="12" customHeight="1">
      <c r="A229" s="18"/>
      <c r="B229" s="93"/>
      <c r="C229" s="18"/>
      <c r="D229" s="18"/>
      <c r="E229" s="18"/>
      <c r="F229" s="18"/>
      <c r="G229" s="18"/>
      <c r="H229" s="18"/>
      <c r="I229" s="18"/>
      <c r="J229" s="71"/>
      <c r="K229" s="92"/>
      <c r="L229" s="18"/>
      <c r="M229" s="39"/>
      <c r="N229" s="18"/>
      <c r="O229" s="18"/>
      <c r="P229" s="18"/>
      <c r="Q229" s="18"/>
      <c r="S229" s="18"/>
      <c r="AH229" s="1"/>
      <c r="AU229" s="1"/>
      <c r="AV229" s="1"/>
    </row>
    <row r="230" spans="1:48" ht="13.5" customHeight="1">
      <c r="A230" s="18"/>
      <c r="B230" s="93"/>
      <c r="C230" s="18"/>
      <c r="D230" s="18"/>
      <c r="E230" s="18"/>
      <c r="F230" s="18"/>
      <c r="G230" s="18"/>
      <c r="H230" s="18"/>
      <c r="I230" s="18"/>
      <c r="J230" s="71"/>
      <c r="K230" s="92"/>
      <c r="L230" s="18"/>
      <c r="M230" s="39"/>
      <c r="N230" s="18"/>
      <c r="O230" s="18"/>
      <c r="P230" s="18"/>
      <c r="Q230" s="18"/>
      <c r="S230" s="18"/>
      <c r="AH230" s="1"/>
      <c r="AU230" s="1"/>
      <c r="AV230" s="1"/>
    </row>
    <row r="231" spans="1:48" ht="12" customHeight="1">
      <c r="A231" s="18"/>
      <c r="B231" s="93"/>
      <c r="C231" s="18"/>
      <c r="D231" s="18"/>
      <c r="E231" s="18"/>
      <c r="F231" s="18"/>
      <c r="G231" s="18"/>
      <c r="H231" s="18"/>
      <c r="I231" s="18"/>
      <c r="J231" s="71"/>
      <c r="K231" s="92"/>
      <c r="L231" s="18"/>
      <c r="M231" s="39"/>
      <c r="N231" s="18"/>
      <c r="O231" s="18"/>
      <c r="P231" s="18"/>
      <c r="Q231" s="18"/>
      <c r="S231" s="18"/>
      <c r="AH231" s="1"/>
      <c r="AU231" s="1"/>
      <c r="AV231" s="1"/>
    </row>
    <row r="232" spans="1:48" ht="12" customHeight="1">
      <c r="A232" s="18"/>
      <c r="B232" s="93"/>
      <c r="C232" s="18"/>
      <c r="D232" s="18"/>
      <c r="E232" s="18"/>
      <c r="F232" s="18"/>
      <c r="G232" s="18"/>
      <c r="H232" s="18"/>
      <c r="I232" s="18"/>
      <c r="J232" s="71"/>
      <c r="K232" s="92"/>
      <c r="L232" s="18"/>
      <c r="M232" s="39"/>
      <c r="N232" s="18"/>
      <c r="O232" s="18"/>
      <c r="P232" s="18"/>
      <c r="Q232" s="18"/>
      <c r="S232" s="18"/>
      <c r="AH232" s="1"/>
      <c r="AU232" s="1"/>
      <c r="AV232" s="1"/>
    </row>
    <row r="233" spans="1:48" ht="12" customHeight="1">
      <c r="A233" s="18"/>
      <c r="B233" s="93"/>
      <c r="C233" s="18"/>
      <c r="D233" s="18"/>
      <c r="E233" s="18"/>
      <c r="F233" s="18"/>
      <c r="G233" s="18"/>
      <c r="H233" s="18"/>
      <c r="I233" s="18"/>
      <c r="J233" s="71"/>
      <c r="K233" s="92"/>
      <c r="L233" s="18"/>
      <c r="M233" s="39"/>
      <c r="N233" s="18"/>
      <c r="O233" s="18"/>
      <c r="P233" s="18"/>
      <c r="Q233" s="18"/>
      <c r="S233" s="18"/>
      <c r="AH233" s="1"/>
      <c r="AU233" s="1"/>
      <c r="AV233" s="1"/>
    </row>
    <row r="234" spans="1:48" ht="12" customHeight="1">
      <c r="A234" s="18"/>
      <c r="B234" s="93"/>
      <c r="C234" s="18"/>
      <c r="D234" s="18"/>
      <c r="E234" s="18"/>
      <c r="F234" s="18"/>
      <c r="G234" s="18"/>
      <c r="H234" s="18"/>
      <c r="I234" s="18"/>
      <c r="J234" s="71"/>
      <c r="K234" s="92"/>
      <c r="L234" s="18"/>
      <c r="M234" s="39"/>
      <c r="N234" s="18"/>
      <c r="O234" s="18"/>
      <c r="P234" s="18"/>
      <c r="Q234" s="18"/>
      <c r="S234" s="18"/>
      <c r="AH234" s="1"/>
      <c r="AU234" s="1"/>
      <c r="AV234" s="1"/>
    </row>
    <row r="235" spans="1:48" ht="12" customHeight="1">
      <c r="A235" s="18"/>
      <c r="B235" s="93"/>
      <c r="C235" s="18"/>
      <c r="D235" s="18"/>
      <c r="E235" s="18"/>
      <c r="F235" s="18"/>
      <c r="G235" s="18"/>
      <c r="H235" s="18"/>
      <c r="I235" s="18"/>
      <c r="J235" s="71"/>
      <c r="K235" s="92"/>
      <c r="L235" s="18"/>
      <c r="M235" s="39"/>
      <c r="N235" s="18"/>
      <c r="O235" s="18"/>
      <c r="P235" s="18"/>
      <c r="Q235" s="18"/>
      <c r="S235" s="18"/>
      <c r="AH235" s="1"/>
      <c r="AU235" s="1"/>
      <c r="AV235" s="1"/>
    </row>
    <row r="236" spans="1:48" ht="12" customHeight="1">
      <c r="A236" s="18"/>
      <c r="B236" s="93"/>
      <c r="C236" s="18"/>
      <c r="D236" s="18"/>
      <c r="E236" s="18"/>
      <c r="F236" s="18"/>
      <c r="G236" s="18"/>
      <c r="H236" s="18"/>
      <c r="I236" s="18"/>
      <c r="J236" s="71"/>
      <c r="K236" s="92"/>
      <c r="L236" s="18"/>
      <c r="M236" s="39"/>
      <c r="N236" s="18"/>
      <c r="O236" s="18"/>
      <c r="P236" s="18"/>
      <c r="Q236" s="18"/>
      <c r="S236" s="18"/>
      <c r="AH236" s="1"/>
      <c r="AU236" s="1"/>
      <c r="AV236" s="1"/>
    </row>
    <row r="237" spans="1:48" ht="12" customHeight="1">
      <c r="A237" s="18"/>
      <c r="B237" s="93"/>
      <c r="C237" s="18"/>
      <c r="D237" s="18"/>
      <c r="E237" s="18"/>
      <c r="F237" s="18"/>
      <c r="G237" s="18"/>
      <c r="H237" s="18"/>
      <c r="I237" s="18"/>
      <c r="J237" s="71"/>
      <c r="K237" s="92"/>
      <c r="L237" s="18"/>
      <c r="M237" s="39"/>
      <c r="N237" s="18"/>
      <c r="O237" s="18"/>
      <c r="P237" s="18"/>
      <c r="Q237" s="18"/>
      <c r="S237" s="221"/>
      <c r="AH237" s="1"/>
      <c r="AU237" s="1"/>
      <c r="AV237" s="1"/>
    </row>
    <row r="238" spans="1:48" ht="12" customHeight="1">
      <c r="A238" s="18"/>
      <c r="B238" s="93"/>
      <c r="C238" s="18"/>
      <c r="D238" s="18"/>
      <c r="E238" s="18"/>
      <c r="F238" s="18"/>
      <c r="G238" s="18"/>
      <c r="H238" s="18"/>
      <c r="I238" s="18"/>
      <c r="J238" s="71"/>
      <c r="K238" s="18"/>
      <c r="L238" s="18"/>
      <c r="M238" s="39"/>
      <c r="N238" s="18"/>
      <c r="O238" s="18"/>
      <c r="P238" s="18"/>
      <c r="Q238" s="18"/>
      <c r="S238" s="18"/>
      <c r="AH238" s="1"/>
      <c r="AU238" s="1"/>
      <c r="AV238" s="1"/>
    </row>
    <row r="239" spans="1:48" ht="12" customHeight="1">
      <c r="A239" s="18"/>
      <c r="B239" s="93"/>
      <c r="C239" s="18"/>
      <c r="D239" s="18"/>
      <c r="E239" s="18"/>
      <c r="F239" s="18"/>
      <c r="G239" s="18"/>
      <c r="H239" s="18"/>
      <c r="I239" s="18"/>
      <c r="J239" s="71"/>
      <c r="K239" s="18"/>
      <c r="L239" s="18"/>
      <c r="M239" s="26"/>
      <c r="N239" s="18"/>
      <c r="O239" s="18"/>
      <c r="P239" s="18"/>
      <c r="Q239" s="18"/>
      <c r="S239" s="18"/>
      <c r="AH239" s="1"/>
      <c r="AU239" s="1"/>
      <c r="AV239" s="1"/>
    </row>
    <row r="240" spans="1:48" ht="12" customHeight="1">
      <c r="A240" s="18"/>
      <c r="B240" s="93"/>
      <c r="C240" s="18"/>
      <c r="D240" s="18"/>
      <c r="E240" s="18"/>
      <c r="F240" s="18"/>
      <c r="G240" s="18"/>
      <c r="H240" s="18"/>
      <c r="I240" s="18"/>
      <c r="J240" s="71"/>
      <c r="K240" s="18"/>
      <c r="L240" s="18"/>
      <c r="M240" s="26"/>
      <c r="N240" s="18"/>
      <c r="O240" s="18"/>
      <c r="P240" s="18"/>
      <c r="Q240" s="18"/>
      <c r="S240" s="18"/>
      <c r="AH240" s="1"/>
      <c r="AU240" s="1"/>
      <c r="AV240" s="1"/>
    </row>
    <row r="241" spans="1:48" ht="12" customHeight="1">
      <c r="A241" s="18"/>
      <c r="B241" s="93"/>
      <c r="C241" s="18"/>
      <c r="D241" s="18"/>
      <c r="E241" s="18"/>
      <c r="F241" s="18"/>
      <c r="G241" s="18"/>
      <c r="H241" s="18"/>
      <c r="I241" s="18"/>
      <c r="J241" s="71"/>
      <c r="K241" s="18"/>
      <c r="L241" s="18"/>
      <c r="M241" s="26"/>
      <c r="N241" s="18"/>
      <c r="O241" s="18"/>
      <c r="P241" s="18"/>
      <c r="Q241" s="18"/>
      <c r="AH241" s="1"/>
      <c r="AU241" s="1"/>
      <c r="AV241" s="1"/>
    </row>
    <row r="242" spans="1:48" ht="12" customHeight="1">
      <c r="A242" s="18"/>
      <c r="B242" s="18"/>
      <c r="C242" s="18"/>
      <c r="D242" s="26"/>
      <c r="E242" s="18"/>
      <c r="F242" s="18"/>
      <c r="G242" s="18"/>
      <c r="H242" s="18"/>
      <c r="I242" s="18"/>
      <c r="J242" s="71"/>
      <c r="K242" s="481"/>
      <c r="L242" s="481"/>
      <c r="M242" s="481"/>
      <c r="N242" s="18"/>
      <c r="O242" s="18"/>
      <c r="P242" s="481"/>
      <c r="Q242" s="481"/>
      <c r="AH242" s="1"/>
      <c r="AU242" s="1"/>
      <c r="AV242" s="1"/>
    </row>
    <row r="243" spans="1:48" ht="12" customHeight="1">
      <c r="A243" s="18"/>
      <c r="B243" s="18"/>
      <c r="C243" s="18"/>
      <c r="D243" s="26"/>
      <c r="E243" s="18"/>
      <c r="F243" s="18"/>
      <c r="G243" s="18"/>
      <c r="H243" s="18"/>
      <c r="I243" s="18"/>
      <c r="J243" s="71"/>
      <c r="K243" s="18"/>
      <c r="L243" s="474"/>
      <c r="M243" s="474"/>
      <c r="N243" s="18"/>
      <c r="O243" s="18"/>
      <c r="P243" s="18"/>
      <c r="Q243" s="18"/>
      <c r="AH243" s="1"/>
      <c r="AU243" s="1"/>
      <c r="AV243" s="1"/>
    </row>
    <row r="244" spans="1:48" ht="12" customHeight="1">
      <c r="A244" s="18"/>
      <c r="B244" s="18"/>
      <c r="C244" s="18"/>
      <c r="D244" s="26"/>
      <c r="E244" s="18"/>
      <c r="F244" s="18"/>
      <c r="G244" s="18"/>
      <c r="H244" s="18"/>
      <c r="I244" s="18"/>
      <c r="J244" s="71"/>
      <c r="K244" s="17"/>
      <c r="L244" s="18"/>
      <c r="M244" s="18"/>
      <c r="N244" s="18"/>
      <c r="O244" s="18"/>
      <c r="P244" s="18"/>
      <c r="Q244" s="18"/>
      <c r="AH244" s="1"/>
      <c r="AU244" s="1"/>
      <c r="AV244" s="1"/>
    </row>
    <row r="245" spans="1:48" ht="12" customHeight="1">
      <c r="A245" s="18"/>
      <c r="B245" s="18"/>
      <c r="C245" s="18"/>
      <c r="D245" s="26"/>
      <c r="E245" s="18"/>
      <c r="F245" s="18"/>
      <c r="G245" s="18"/>
      <c r="H245" s="18"/>
      <c r="I245" s="18"/>
      <c r="J245" s="71"/>
      <c r="K245" s="19"/>
      <c r="L245" s="18"/>
      <c r="M245" s="18"/>
      <c r="N245" s="18"/>
      <c r="O245" s="18"/>
      <c r="P245" s="18"/>
      <c r="Q245" s="18"/>
      <c r="AH245" s="1"/>
      <c r="AU245" s="1"/>
      <c r="AV245" s="1"/>
    </row>
    <row r="246" spans="1:48" ht="12" customHeight="1">
      <c r="A246" s="18"/>
      <c r="B246" s="18"/>
      <c r="C246" s="18"/>
      <c r="D246" s="18"/>
      <c r="E246" s="18"/>
      <c r="F246" s="26"/>
      <c r="G246" s="26"/>
      <c r="H246" s="26"/>
      <c r="I246" s="26"/>
      <c r="J246" s="71"/>
      <c r="K246" s="17"/>
      <c r="L246" s="1"/>
      <c r="AH246" s="1"/>
      <c r="AU246" s="1"/>
      <c r="AV246" s="1"/>
    </row>
    <row r="247" spans="1:48" ht="12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71"/>
      <c r="K247" s="4"/>
      <c r="L247" s="1"/>
      <c r="AH247" s="1"/>
      <c r="AU247" s="1"/>
      <c r="AV247" s="1"/>
    </row>
    <row r="248" spans="1:48" ht="12" customHeight="1">
      <c r="A248" s="18"/>
      <c r="B248" s="18"/>
      <c r="C248" s="18"/>
      <c r="D248" s="97"/>
      <c r="E248" s="98"/>
      <c r="F248" s="98"/>
      <c r="G248" s="98"/>
      <c r="H248" s="98"/>
      <c r="I248" s="17"/>
      <c r="J248" s="71"/>
      <c r="K248" s="4"/>
      <c r="L248" s="1"/>
      <c r="AH248" s="1"/>
      <c r="AU248" s="1"/>
      <c r="AV248" s="1"/>
    </row>
    <row r="249" spans="1:48" ht="12" customHeight="1">
      <c r="A249" s="18"/>
      <c r="B249" s="18"/>
      <c r="C249" s="18"/>
      <c r="D249" s="97"/>
      <c r="E249" s="98"/>
      <c r="F249" s="98"/>
      <c r="G249" s="98"/>
      <c r="H249" s="98"/>
      <c r="I249" s="19"/>
      <c r="J249" s="18"/>
      <c r="K249" s="4"/>
      <c r="L249" s="1"/>
      <c r="AH249" s="1"/>
      <c r="AU249" s="1"/>
      <c r="AV249" s="1"/>
    </row>
    <row r="250" spans="1:48" ht="12" customHeight="1">
      <c r="B250" s="95"/>
      <c r="D250" s="99"/>
      <c r="E250" s="100"/>
      <c r="F250" s="100"/>
      <c r="G250" s="100"/>
      <c r="H250" s="100"/>
      <c r="I250" s="17"/>
      <c r="J250" s="18"/>
      <c r="K250" s="4"/>
      <c r="L250" s="1"/>
      <c r="AH250" s="1"/>
      <c r="AU250" s="1"/>
      <c r="AV250" s="1"/>
    </row>
    <row r="251" spans="1:48" ht="12" customHeight="1">
      <c r="A251" s="95" t="e">
        <f>(F15-#REF!)*12%</f>
        <v>#REF!</v>
      </c>
      <c r="D251" s="99"/>
      <c r="F251" s="100"/>
      <c r="G251" s="100"/>
      <c r="H251" s="100"/>
      <c r="J251" s="18"/>
      <c r="K251" s="4"/>
      <c r="L251" s="1"/>
      <c r="AH251" s="1"/>
      <c r="AU251" s="1"/>
      <c r="AV251" s="1"/>
    </row>
    <row r="252" spans="1:48" ht="12" customHeight="1">
      <c r="A252" s="96"/>
      <c r="D252" s="99"/>
      <c r="E252" s="100"/>
      <c r="F252" s="100"/>
      <c r="G252" s="100"/>
      <c r="H252" s="100"/>
      <c r="J252" s="18"/>
      <c r="K252" s="4"/>
      <c r="L252" s="1"/>
      <c r="AH252" s="1"/>
      <c r="AU252" s="1"/>
      <c r="AV252" s="1"/>
    </row>
    <row r="253" spans="1:48" ht="17.25" customHeight="1">
      <c r="D253" s="99"/>
      <c r="E253" s="100"/>
      <c r="F253" s="100"/>
      <c r="G253" s="100"/>
      <c r="H253" s="100"/>
      <c r="J253" s="18"/>
      <c r="K253" s="4"/>
      <c r="L253" s="1"/>
      <c r="AH253" s="1"/>
      <c r="AU253" s="1"/>
      <c r="AV253" s="1"/>
    </row>
    <row r="254" spans="1:48" ht="15.75" customHeight="1">
      <c r="D254" s="99"/>
      <c r="E254" s="100"/>
      <c r="F254" s="100"/>
      <c r="G254" s="100"/>
      <c r="H254" s="100"/>
      <c r="J254" s="18"/>
      <c r="K254" s="4"/>
      <c r="L254" s="1"/>
      <c r="AH254" s="1"/>
      <c r="AU254" s="1"/>
      <c r="AV254" s="1"/>
    </row>
    <row r="255" spans="1:48" ht="12.75" customHeight="1">
      <c r="D255" s="99"/>
      <c r="E255" s="100"/>
      <c r="F255" s="100"/>
      <c r="G255" s="100"/>
      <c r="H255" s="100"/>
      <c r="J255" s="18"/>
      <c r="K255" s="4"/>
      <c r="L255" s="1"/>
      <c r="AH255" s="1"/>
      <c r="AU255" s="1"/>
      <c r="AV255" s="1"/>
    </row>
    <row r="256" spans="1:48" ht="12.75" customHeight="1">
      <c r="D256" s="99"/>
      <c r="E256" s="100"/>
      <c r="F256" s="100"/>
      <c r="G256" s="100"/>
      <c r="H256" s="100"/>
      <c r="J256" s="18"/>
      <c r="K256" s="4"/>
      <c r="L256" s="1"/>
      <c r="AH256" s="1"/>
      <c r="AU256" s="1"/>
      <c r="AV256" s="1"/>
    </row>
    <row r="257" spans="4:48" ht="12.75" customHeight="1">
      <c r="D257" s="99"/>
      <c r="E257" s="100"/>
      <c r="F257" s="100"/>
      <c r="G257" s="100"/>
      <c r="H257" s="100"/>
      <c r="K257" s="4"/>
      <c r="L257" s="1"/>
      <c r="AH257" s="1"/>
      <c r="AU257" s="1"/>
      <c r="AV257" s="1"/>
    </row>
    <row r="258" spans="4:48" ht="12.75" customHeight="1">
      <c r="D258" s="99"/>
      <c r="E258" s="100"/>
      <c r="F258" s="100"/>
      <c r="G258" s="100"/>
      <c r="H258" s="100"/>
      <c r="K258" s="4"/>
      <c r="L258" s="1"/>
      <c r="AH258" s="1"/>
      <c r="AU258" s="1"/>
      <c r="AV258" s="1"/>
    </row>
    <row r="259" spans="4:48" ht="12.75" customHeight="1">
      <c r="D259" s="99"/>
      <c r="E259" s="100"/>
      <c r="F259" s="100"/>
      <c r="G259" s="100"/>
      <c r="H259" s="100"/>
      <c r="J259" s="4"/>
      <c r="K259" s="4"/>
      <c r="L259" s="1"/>
      <c r="AH259" s="1"/>
      <c r="AU259" s="1"/>
      <c r="AV259" s="1"/>
    </row>
    <row r="260" spans="4:48" ht="12.75" customHeight="1">
      <c r="D260" s="99"/>
      <c r="E260" s="100"/>
      <c r="F260" s="100"/>
      <c r="G260" s="100"/>
      <c r="H260" s="100"/>
      <c r="J260" s="17"/>
      <c r="AH260" s="1"/>
      <c r="AU260" s="1"/>
      <c r="AV260" s="1"/>
    </row>
    <row r="261" spans="4:48" ht="12.75" customHeight="1">
      <c r="D261" s="99"/>
      <c r="E261" s="100"/>
      <c r="F261" s="100"/>
      <c r="G261" s="100"/>
      <c r="H261" s="100"/>
      <c r="J261" s="19"/>
      <c r="AH261" s="1"/>
      <c r="AU261" s="1"/>
      <c r="AV261" s="1"/>
    </row>
    <row r="262" spans="4:48" ht="12.75" customHeight="1">
      <c r="D262" s="99"/>
      <c r="E262" s="100"/>
      <c r="F262" s="100"/>
      <c r="G262" s="100"/>
      <c r="H262" s="100"/>
      <c r="J262" s="17"/>
      <c r="AH262" s="1"/>
      <c r="AU262" s="1"/>
      <c r="AV262" s="1"/>
    </row>
    <row r="263" spans="4:48" ht="12.75" customHeight="1">
      <c r="D263" s="99"/>
      <c r="E263" s="100"/>
      <c r="F263" s="100"/>
      <c r="G263" s="100"/>
      <c r="H263" s="100"/>
      <c r="AH263" s="1"/>
      <c r="AU263" s="1"/>
      <c r="AV263" s="1"/>
    </row>
    <row r="264" spans="4:48" ht="12.75" customHeight="1">
      <c r="D264" s="99"/>
      <c r="E264" s="100"/>
      <c r="F264" s="100"/>
      <c r="G264" s="100"/>
      <c r="H264" s="100"/>
      <c r="AH264" s="1"/>
      <c r="AU264" s="1"/>
      <c r="AV264" s="1"/>
    </row>
    <row r="265" spans="4:48" ht="12.75" customHeight="1">
      <c r="D265" s="99"/>
      <c r="E265" s="100"/>
      <c r="F265" s="100"/>
      <c r="G265" s="100"/>
      <c r="H265" s="100"/>
      <c r="AH265" s="1"/>
      <c r="AU265" s="1"/>
      <c r="AV265" s="1"/>
    </row>
    <row r="266" spans="4:48" ht="12.75" customHeight="1">
      <c r="D266" s="99"/>
      <c r="E266" s="100"/>
      <c r="F266" s="100"/>
      <c r="G266" s="100"/>
      <c r="H266" s="100"/>
      <c r="AH266" s="1"/>
      <c r="AU266" s="1"/>
      <c r="AV266" s="1"/>
    </row>
    <row r="267" spans="4:48" ht="12.75" customHeight="1">
      <c r="D267" s="99"/>
      <c r="E267" s="100"/>
      <c r="F267" s="100"/>
      <c r="G267" s="100"/>
      <c r="H267" s="100"/>
      <c r="AH267" s="1"/>
      <c r="AU267" s="1"/>
      <c r="AV267" s="1"/>
    </row>
    <row r="268" spans="4:48" ht="12.75" customHeight="1">
      <c r="D268" s="99"/>
      <c r="E268" s="100"/>
      <c r="F268" s="100"/>
      <c r="G268" s="100"/>
      <c r="H268" s="100"/>
      <c r="AH268" s="1"/>
      <c r="AU268" s="1"/>
      <c r="AV268" s="1"/>
    </row>
    <row r="269" spans="4:48" ht="12.75" customHeight="1">
      <c r="D269" s="99"/>
      <c r="E269" s="100"/>
      <c r="F269" s="100"/>
      <c r="G269" s="100"/>
      <c r="H269" s="100"/>
      <c r="AH269" s="1"/>
      <c r="AU269" s="1"/>
      <c r="AV269" s="1"/>
    </row>
    <row r="270" spans="4:48" ht="12.75" customHeight="1">
      <c r="D270" s="99"/>
      <c r="E270" s="100"/>
      <c r="F270" s="100"/>
      <c r="G270" s="100"/>
      <c r="H270" s="100"/>
      <c r="AH270" s="1"/>
      <c r="AU270" s="1"/>
      <c r="AV270" s="1"/>
    </row>
    <row r="271" spans="4:48" ht="12.75" customHeight="1">
      <c r="D271" s="99"/>
      <c r="E271" s="100"/>
      <c r="F271" s="100"/>
      <c r="G271" s="100"/>
      <c r="H271" s="100"/>
      <c r="AH271" s="1"/>
      <c r="AU271" s="1"/>
      <c r="AV271" s="1"/>
    </row>
    <row r="272" spans="4:48" ht="12.75" customHeight="1">
      <c r="D272" s="99"/>
      <c r="E272" s="100"/>
      <c r="F272" s="100"/>
      <c r="G272" s="100"/>
      <c r="H272" s="100"/>
      <c r="AH272" s="1"/>
      <c r="AU272" s="1"/>
      <c r="AV272" s="1"/>
    </row>
    <row r="273" spans="4:48" ht="12.75" customHeight="1">
      <c r="D273" s="99"/>
      <c r="E273" s="100"/>
      <c r="F273" s="100"/>
      <c r="G273" s="100"/>
      <c r="H273" s="100"/>
      <c r="AH273" s="1"/>
      <c r="AU273" s="1"/>
      <c r="AV273" s="1"/>
    </row>
    <row r="274" spans="4:48" ht="12.75" customHeight="1">
      <c r="D274" s="99"/>
      <c r="E274" s="100"/>
      <c r="F274" s="100"/>
      <c r="G274" s="100"/>
      <c r="H274" s="100"/>
      <c r="AH274" s="1"/>
      <c r="AU274" s="1"/>
      <c r="AV274" s="1"/>
    </row>
    <row r="275" spans="4:48" ht="12.75" customHeight="1">
      <c r="D275" s="99"/>
      <c r="E275" s="100"/>
      <c r="F275" s="100"/>
      <c r="G275" s="100"/>
      <c r="H275" s="100"/>
      <c r="AH275" s="1"/>
      <c r="AU275" s="1"/>
      <c r="AV275" s="1"/>
    </row>
    <row r="276" spans="4:48" ht="12.75" customHeight="1">
      <c r="D276" s="99"/>
      <c r="E276" s="100"/>
      <c r="F276" s="100"/>
      <c r="G276" s="100"/>
      <c r="H276" s="100"/>
      <c r="AH276" s="1"/>
      <c r="AU276" s="1"/>
      <c r="AV276" s="1"/>
    </row>
    <row r="277" spans="4:48" ht="12.75" customHeight="1">
      <c r="D277" s="99"/>
      <c r="E277" s="100"/>
      <c r="F277" s="100"/>
      <c r="G277" s="100"/>
      <c r="H277" s="100"/>
      <c r="AH277" s="1"/>
      <c r="AU277" s="1"/>
      <c r="AV277" s="1"/>
    </row>
    <row r="278" spans="4:48" ht="12.75" customHeight="1">
      <c r="D278" s="99"/>
      <c r="E278" s="100"/>
      <c r="F278" s="100"/>
      <c r="G278" s="100"/>
      <c r="H278" s="100"/>
      <c r="AH278" s="1"/>
      <c r="AU278" s="1"/>
      <c r="AV278" s="1"/>
    </row>
    <row r="279" spans="4:48" ht="12.75" customHeight="1">
      <c r="D279" s="99"/>
      <c r="E279" s="100"/>
      <c r="F279" s="100"/>
      <c r="G279" s="100"/>
      <c r="H279" s="100"/>
      <c r="AH279" s="1"/>
      <c r="AU279" s="1"/>
      <c r="AV279" s="1"/>
    </row>
    <row r="280" spans="4:48" ht="12.75" customHeight="1">
      <c r="D280" s="99"/>
      <c r="E280" s="100"/>
      <c r="F280" s="100"/>
      <c r="G280" s="100"/>
      <c r="H280" s="100"/>
      <c r="AH280" s="1"/>
      <c r="AU280" s="1"/>
      <c r="AV280" s="1"/>
    </row>
    <row r="281" spans="4:48" ht="12.75" customHeight="1">
      <c r="D281" s="99"/>
      <c r="E281" s="100"/>
      <c r="F281" s="100"/>
      <c r="G281" s="100"/>
      <c r="H281" s="100"/>
      <c r="AH281" s="1"/>
      <c r="AU281" s="1"/>
      <c r="AV281" s="1"/>
    </row>
    <row r="282" spans="4:48" ht="12.75" customHeight="1">
      <c r="D282" s="99"/>
      <c r="E282" s="100"/>
      <c r="F282" s="100"/>
      <c r="G282" s="100"/>
      <c r="H282" s="100"/>
      <c r="AH282" s="1"/>
      <c r="AU282" s="1"/>
      <c r="AV282" s="1"/>
    </row>
    <row r="283" spans="4:48" ht="12.75" customHeight="1">
      <c r="D283" s="99"/>
      <c r="E283" s="100"/>
      <c r="F283" s="100"/>
      <c r="G283" s="100"/>
      <c r="H283" s="100"/>
      <c r="AH283" s="1"/>
      <c r="AU283" s="1"/>
      <c r="AV283" s="1"/>
    </row>
    <row r="284" spans="4:48" ht="12.75" customHeight="1">
      <c r="D284" s="99"/>
      <c r="E284" s="100"/>
      <c r="F284" s="100"/>
      <c r="G284" s="100"/>
      <c r="H284" s="100"/>
      <c r="AH284" s="1"/>
      <c r="AU284" s="1"/>
      <c r="AV284" s="1"/>
    </row>
    <row r="285" spans="4:48" ht="12.75" customHeight="1">
      <c r="D285" s="99"/>
      <c r="E285" s="100"/>
      <c r="F285" s="100"/>
      <c r="G285" s="100"/>
      <c r="H285" s="100"/>
      <c r="AH285" s="1"/>
      <c r="AU285" s="1"/>
      <c r="AV285" s="1"/>
    </row>
    <row r="286" spans="4:48" ht="12.75" customHeight="1">
      <c r="D286" s="99"/>
      <c r="E286" s="100"/>
      <c r="F286" s="100"/>
      <c r="G286" s="100"/>
      <c r="H286" s="100"/>
      <c r="AH286" s="1"/>
      <c r="AU286" s="1"/>
      <c r="AV286" s="1"/>
    </row>
    <row r="287" spans="4:48" ht="12.75" customHeight="1">
      <c r="D287" s="99"/>
      <c r="E287" s="100"/>
      <c r="F287" s="100"/>
      <c r="G287" s="100"/>
      <c r="H287" s="100"/>
      <c r="AH287" s="1"/>
      <c r="AU287" s="1"/>
      <c r="AV287" s="1"/>
    </row>
    <row r="288" spans="4:48" ht="12.75" customHeight="1">
      <c r="D288" s="99"/>
      <c r="E288" s="100"/>
      <c r="F288" s="100"/>
      <c r="G288" s="100"/>
      <c r="H288" s="100"/>
      <c r="AH288" s="1"/>
      <c r="AU288" s="1"/>
      <c r="AV288" s="1"/>
    </row>
    <row r="289" spans="4:48" ht="12.75" customHeight="1">
      <c r="D289" s="99"/>
      <c r="E289" s="100"/>
      <c r="F289" s="100"/>
      <c r="G289" s="100"/>
      <c r="H289" s="100"/>
      <c r="AH289" s="1"/>
      <c r="AU289" s="1"/>
      <c r="AV289" s="1"/>
    </row>
    <row r="290" spans="4:48" ht="12.75" customHeight="1">
      <c r="D290" s="99"/>
      <c r="E290" s="100"/>
      <c r="F290" s="100"/>
      <c r="G290" s="100"/>
      <c r="H290" s="100"/>
      <c r="AH290" s="1"/>
      <c r="AU290" s="1"/>
      <c r="AV290" s="1"/>
    </row>
    <row r="291" spans="4:48" ht="12.75" customHeight="1">
      <c r="D291" s="99"/>
      <c r="E291" s="100"/>
      <c r="F291" s="100"/>
      <c r="G291" s="100"/>
      <c r="H291" s="100"/>
      <c r="AH291" s="1"/>
      <c r="AU291" s="1"/>
      <c r="AV291" s="1"/>
    </row>
    <row r="292" spans="4:48" ht="12.75" customHeight="1">
      <c r="D292" s="99"/>
      <c r="E292" s="100"/>
      <c r="F292" s="100"/>
      <c r="G292" s="100"/>
      <c r="H292" s="100"/>
      <c r="AH292" s="1"/>
      <c r="AU292" s="1"/>
      <c r="AV292" s="1"/>
    </row>
    <row r="293" spans="4:48" ht="12.75" customHeight="1">
      <c r="D293" s="99"/>
      <c r="E293" s="100"/>
      <c r="F293" s="100"/>
      <c r="G293" s="100"/>
      <c r="H293" s="100"/>
      <c r="AH293" s="1"/>
      <c r="AU293" s="1"/>
      <c r="AV293" s="1"/>
    </row>
    <row r="294" spans="4:48" ht="12.75" customHeight="1">
      <c r="D294" s="99"/>
      <c r="E294" s="100"/>
      <c r="F294" s="100"/>
      <c r="G294" s="100"/>
      <c r="H294" s="100"/>
      <c r="AH294" s="1"/>
      <c r="AU294" s="1"/>
      <c r="AV294" s="1"/>
    </row>
    <row r="295" spans="4:48" ht="12.75" customHeight="1">
      <c r="D295" s="99"/>
      <c r="E295" s="100"/>
      <c r="F295" s="100"/>
      <c r="G295" s="100"/>
      <c r="H295" s="100"/>
      <c r="AH295" s="1"/>
      <c r="AU295" s="1"/>
      <c r="AV295" s="1"/>
    </row>
    <row r="296" spans="4:48" ht="12.75" customHeight="1">
      <c r="D296" s="99"/>
      <c r="E296" s="100"/>
      <c r="F296" s="100"/>
      <c r="G296" s="100"/>
      <c r="H296" s="100"/>
      <c r="AH296" s="1"/>
      <c r="AU296" s="1"/>
      <c r="AV296" s="1"/>
    </row>
    <row r="297" spans="4:48" ht="12.75" customHeight="1">
      <c r="D297" s="99"/>
      <c r="E297" s="100"/>
      <c r="F297" s="100"/>
      <c r="G297" s="100"/>
      <c r="H297" s="100"/>
      <c r="AH297" s="1"/>
      <c r="AU297" s="1"/>
      <c r="AV297" s="1"/>
    </row>
    <row r="298" spans="4:48" ht="12.75" customHeight="1">
      <c r="D298" s="99"/>
      <c r="E298" s="100"/>
      <c r="F298" s="100"/>
      <c r="G298" s="100"/>
      <c r="H298" s="100"/>
      <c r="AH298" s="1"/>
      <c r="AU298" s="1"/>
      <c r="AV298" s="1"/>
    </row>
    <row r="299" spans="4:48" ht="12.75" customHeight="1">
      <c r="D299" s="99"/>
      <c r="E299" s="100"/>
      <c r="F299" s="100"/>
      <c r="G299" s="100"/>
      <c r="H299" s="100"/>
      <c r="AH299" s="1"/>
      <c r="AU299" s="1"/>
      <c r="AV299" s="1"/>
    </row>
    <row r="300" spans="4:48" ht="12.75" customHeight="1">
      <c r="D300" s="99"/>
      <c r="E300" s="100"/>
      <c r="F300" s="100"/>
      <c r="G300" s="100"/>
      <c r="H300" s="100"/>
      <c r="AH300" s="1"/>
      <c r="AU300" s="1"/>
      <c r="AV300" s="1"/>
    </row>
    <row r="301" spans="4:48" ht="12.75" customHeight="1">
      <c r="D301" s="99"/>
      <c r="E301" s="100"/>
      <c r="F301" s="100"/>
      <c r="G301" s="100"/>
      <c r="H301" s="100"/>
      <c r="AH301" s="1"/>
      <c r="AU301" s="1"/>
      <c r="AV301" s="1"/>
    </row>
    <row r="302" spans="4:48" ht="12.75" customHeight="1">
      <c r="D302" s="99"/>
      <c r="E302" s="100"/>
      <c r="F302" s="100"/>
      <c r="G302" s="100"/>
      <c r="H302" s="100"/>
      <c r="AH302" s="1"/>
      <c r="AU302" s="1"/>
      <c r="AV302" s="1"/>
    </row>
    <row r="303" spans="4:48" ht="12.75" customHeight="1">
      <c r="D303" s="99"/>
      <c r="E303" s="100"/>
      <c r="F303" s="100"/>
      <c r="G303" s="100"/>
      <c r="H303" s="100"/>
      <c r="AH303" s="1"/>
      <c r="AU303" s="1"/>
      <c r="AV303" s="1"/>
    </row>
    <row r="304" spans="4:48" ht="12.75" customHeight="1">
      <c r="D304" s="99"/>
      <c r="E304" s="100"/>
      <c r="F304" s="100"/>
      <c r="G304" s="100"/>
      <c r="H304" s="100"/>
      <c r="AH304" s="1"/>
      <c r="AU304" s="1"/>
      <c r="AV304" s="1"/>
    </row>
    <row r="305" spans="4:48" ht="12.75" customHeight="1">
      <c r="D305" s="99"/>
      <c r="E305" s="100"/>
      <c r="F305" s="100"/>
      <c r="G305" s="100"/>
      <c r="H305" s="100"/>
      <c r="AH305" s="1"/>
      <c r="AU305" s="1"/>
      <c r="AV305" s="1"/>
    </row>
    <row r="306" spans="4:48" ht="12.75" customHeight="1">
      <c r="D306" s="99"/>
      <c r="E306" s="100"/>
      <c r="F306" s="100"/>
      <c r="G306" s="100"/>
      <c r="H306" s="100"/>
      <c r="AH306" s="1"/>
      <c r="AU306" s="1"/>
      <c r="AV306" s="1"/>
    </row>
    <row r="307" spans="4:48" ht="12.75" customHeight="1">
      <c r="D307" s="99"/>
      <c r="E307" s="100"/>
      <c r="F307" s="100"/>
      <c r="G307" s="100"/>
      <c r="H307" s="100"/>
      <c r="AH307" s="1"/>
      <c r="AU307" s="1"/>
      <c r="AV307" s="1"/>
    </row>
    <row r="308" spans="4:48" ht="12.75" customHeight="1">
      <c r="D308" s="99"/>
      <c r="E308" s="100"/>
      <c r="F308" s="100"/>
      <c r="G308" s="100"/>
      <c r="H308" s="100"/>
      <c r="AH308" s="1"/>
      <c r="AU308" s="1"/>
      <c r="AV308" s="1"/>
    </row>
    <row r="309" spans="4:48" ht="12.75" customHeight="1">
      <c r="D309" s="99"/>
      <c r="E309" s="100"/>
      <c r="F309" s="100"/>
      <c r="G309" s="100"/>
      <c r="H309" s="100"/>
      <c r="AH309" s="1"/>
      <c r="AU309" s="1"/>
      <c r="AV309" s="1"/>
    </row>
    <row r="310" spans="4:48" ht="12.75" customHeight="1">
      <c r="D310" s="99"/>
      <c r="E310" s="100"/>
      <c r="F310" s="100"/>
      <c r="G310" s="100"/>
      <c r="H310" s="100"/>
      <c r="AH310" s="1"/>
      <c r="AU310" s="1"/>
      <c r="AV310" s="1"/>
    </row>
    <row r="311" spans="4:48" ht="12.75" customHeight="1">
      <c r="D311" s="99"/>
      <c r="E311" s="100"/>
      <c r="F311" s="100"/>
      <c r="G311" s="100"/>
      <c r="H311" s="100"/>
      <c r="AH311" s="1"/>
      <c r="AU311" s="1"/>
      <c r="AV311" s="1"/>
    </row>
    <row r="312" spans="4:48" ht="12.75" customHeight="1">
      <c r="D312" s="99"/>
      <c r="E312" s="100"/>
      <c r="F312" s="100"/>
      <c r="G312" s="100"/>
      <c r="H312" s="100"/>
      <c r="AH312" s="1"/>
      <c r="AU312" s="1"/>
      <c r="AV312" s="1"/>
    </row>
    <row r="313" spans="4:48" ht="12.75" customHeight="1">
      <c r="D313" s="99"/>
      <c r="E313" s="100"/>
      <c r="F313" s="100"/>
      <c r="G313" s="100"/>
      <c r="H313" s="100"/>
      <c r="AH313" s="1"/>
      <c r="AU313" s="1"/>
      <c r="AV313" s="1"/>
    </row>
    <row r="314" spans="4:48" ht="12.75" customHeight="1">
      <c r="D314" s="99"/>
      <c r="E314" s="100"/>
      <c r="F314" s="100"/>
      <c r="G314" s="100"/>
      <c r="H314" s="100"/>
      <c r="AH314" s="1"/>
      <c r="AU314" s="1"/>
      <c r="AV314" s="1"/>
    </row>
    <row r="315" spans="4:48" ht="12.75" customHeight="1">
      <c r="D315" s="99"/>
      <c r="E315" s="100"/>
      <c r="F315" s="100"/>
      <c r="G315" s="100"/>
      <c r="H315" s="100"/>
      <c r="AH315" s="1"/>
      <c r="AU315" s="1"/>
      <c r="AV315" s="1"/>
    </row>
    <row r="316" spans="4:48" ht="12.75" customHeight="1">
      <c r="D316" s="99"/>
      <c r="E316" s="100"/>
      <c r="F316" s="100"/>
      <c r="G316" s="100"/>
      <c r="H316" s="100"/>
      <c r="AH316" s="1"/>
      <c r="AU316" s="1"/>
      <c r="AV316" s="1"/>
    </row>
    <row r="317" spans="4:48" ht="12.75" customHeight="1">
      <c r="D317" s="99"/>
      <c r="E317" s="100"/>
      <c r="F317" s="100"/>
      <c r="G317" s="100"/>
      <c r="H317" s="100"/>
      <c r="AH317" s="1"/>
      <c r="AU317" s="1"/>
      <c r="AV317" s="1"/>
    </row>
    <row r="318" spans="4:48" ht="12.75" customHeight="1">
      <c r="D318" s="99"/>
      <c r="E318" s="100"/>
      <c r="F318" s="100"/>
      <c r="G318" s="100"/>
      <c r="H318" s="100"/>
      <c r="AH318" s="1"/>
      <c r="AU318" s="1"/>
      <c r="AV318" s="1"/>
    </row>
    <row r="319" spans="4:48" ht="12.75" customHeight="1">
      <c r="D319" s="99"/>
      <c r="E319" s="100"/>
      <c r="F319" s="100"/>
      <c r="G319" s="100"/>
      <c r="H319" s="100"/>
      <c r="AH319" s="1"/>
      <c r="AU319" s="1"/>
      <c r="AV319" s="1"/>
    </row>
    <row r="320" spans="4:48" ht="12.75" customHeight="1">
      <c r="D320" s="99"/>
      <c r="E320" s="100"/>
      <c r="F320" s="100"/>
      <c r="G320" s="100"/>
      <c r="H320" s="100"/>
      <c r="AH320" s="1"/>
      <c r="AU320" s="1"/>
      <c r="AV320" s="1"/>
    </row>
    <row r="321" spans="4:48" ht="12.75" customHeight="1">
      <c r="D321" s="99"/>
      <c r="E321" s="100"/>
      <c r="F321" s="100"/>
      <c r="G321" s="100"/>
      <c r="H321" s="100"/>
      <c r="AH321" s="1"/>
      <c r="AU321" s="1"/>
      <c r="AV321" s="1"/>
    </row>
    <row r="322" spans="4:48" ht="12.75" customHeight="1">
      <c r="D322" s="99"/>
      <c r="E322" s="100"/>
      <c r="F322" s="100"/>
      <c r="G322" s="100"/>
      <c r="H322" s="100"/>
      <c r="AH322" s="1"/>
      <c r="AU322" s="1"/>
      <c r="AV322" s="1"/>
    </row>
    <row r="323" spans="4:48" ht="12.75" customHeight="1">
      <c r="D323" s="99"/>
      <c r="E323" s="100"/>
      <c r="F323" s="100"/>
      <c r="G323" s="100"/>
      <c r="H323" s="100"/>
      <c r="AH323" s="1"/>
      <c r="AU323" s="1"/>
      <c r="AV323" s="1"/>
    </row>
    <row r="324" spans="4:48" ht="12.75" customHeight="1">
      <c r="D324" s="99"/>
      <c r="E324" s="100"/>
      <c r="F324" s="100"/>
      <c r="G324" s="100"/>
      <c r="H324" s="100"/>
      <c r="AH324" s="1"/>
      <c r="AU324" s="1"/>
      <c r="AV324" s="1"/>
    </row>
    <row r="325" spans="4:48" ht="12.75" customHeight="1">
      <c r="D325" s="99"/>
      <c r="E325" s="100"/>
      <c r="F325" s="100"/>
      <c r="G325" s="100"/>
      <c r="H325" s="100"/>
      <c r="AH325" s="1"/>
      <c r="AU325" s="1"/>
      <c r="AV325" s="1"/>
    </row>
    <row r="326" spans="4:48" ht="12.75" customHeight="1">
      <c r="D326" s="99"/>
      <c r="E326" s="100"/>
      <c r="F326" s="100"/>
      <c r="G326" s="100"/>
      <c r="H326" s="100"/>
      <c r="AH326" s="1"/>
      <c r="AU326" s="1"/>
      <c r="AV326" s="1"/>
    </row>
    <row r="327" spans="4:48" ht="12.75" customHeight="1">
      <c r="D327" s="99"/>
      <c r="E327" s="100"/>
      <c r="F327" s="100"/>
      <c r="G327" s="100"/>
      <c r="H327" s="100"/>
      <c r="AH327" s="1"/>
      <c r="AU327" s="1"/>
      <c r="AV327" s="1"/>
    </row>
    <row r="328" spans="4:48" ht="12.75" customHeight="1">
      <c r="D328" s="99"/>
      <c r="E328" s="100"/>
      <c r="F328" s="100"/>
      <c r="G328" s="100"/>
      <c r="H328" s="100"/>
      <c r="AH328" s="1"/>
      <c r="AU328" s="1"/>
      <c r="AV328" s="1"/>
    </row>
    <row r="329" spans="4:48" ht="12.75" customHeight="1">
      <c r="D329" s="99"/>
      <c r="E329" s="100"/>
      <c r="F329" s="100"/>
      <c r="G329" s="100"/>
      <c r="H329" s="100"/>
      <c r="AH329" s="1"/>
      <c r="AU329" s="1"/>
      <c r="AV329" s="1"/>
    </row>
    <row r="330" spans="4:48" ht="12.75" customHeight="1">
      <c r="D330" s="99"/>
      <c r="E330" s="100"/>
      <c r="F330" s="100"/>
      <c r="G330" s="100"/>
      <c r="H330" s="100"/>
      <c r="AH330" s="1"/>
      <c r="AU330" s="1"/>
      <c r="AV330" s="1"/>
    </row>
    <row r="331" spans="4:48" ht="12.75" customHeight="1">
      <c r="D331" s="99"/>
      <c r="E331" s="100"/>
      <c r="F331" s="100"/>
      <c r="G331" s="100"/>
      <c r="H331" s="100"/>
      <c r="AH331" s="1"/>
      <c r="AU331" s="1"/>
      <c r="AV331" s="1"/>
    </row>
    <row r="332" spans="4:48" ht="12.75" customHeight="1">
      <c r="D332" s="99"/>
      <c r="E332" s="100"/>
      <c r="F332" s="100"/>
      <c r="G332" s="100"/>
      <c r="H332" s="100"/>
      <c r="AH332" s="1"/>
      <c r="AU332" s="1"/>
      <c r="AV332" s="1"/>
    </row>
    <row r="333" spans="4:48" ht="12.75" customHeight="1">
      <c r="D333" s="99"/>
      <c r="E333" s="100"/>
      <c r="F333" s="100"/>
      <c r="G333" s="100"/>
      <c r="H333" s="100"/>
      <c r="AH333" s="1"/>
      <c r="AU333" s="1"/>
      <c r="AV333" s="1"/>
    </row>
    <row r="334" spans="4:48" ht="12.75" customHeight="1">
      <c r="D334" s="99"/>
      <c r="E334" s="100"/>
      <c r="F334" s="100"/>
      <c r="G334" s="100"/>
      <c r="H334" s="100"/>
      <c r="AH334" s="1"/>
      <c r="AU334" s="1"/>
      <c r="AV334" s="1"/>
    </row>
    <row r="335" spans="4:48" ht="12.75" customHeight="1">
      <c r="D335" s="99"/>
      <c r="E335" s="100"/>
      <c r="F335" s="100"/>
      <c r="G335" s="100"/>
      <c r="H335" s="100"/>
      <c r="AH335" s="1"/>
      <c r="AU335" s="1"/>
      <c r="AV335" s="1"/>
    </row>
    <row r="336" spans="4:48" ht="12.75" customHeight="1">
      <c r="D336" s="99"/>
      <c r="E336" s="100"/>
      <c r="F336" s="100"/>
      <c r="G336" s="100"/>
      <c r="H336" s="100"/>
      <c r="AH336" s="1"/>
      <c r="AU336" s="1"/>
      <c r="AV336" s="1"/>
    </row>
    <row r="337" spans="4:48" ht="12.75" customHeight="1">
      <c r="D337" s="99"/>
      <c r="E337" s="100"/>
      <c r="F337" s="100"/>
      <c r="G337" s="100"/>
      <c r="H337" s="100"/>
      <c r="AH337" s="1"/>
      <c r="AU337" s="1"/>
      <c r="AV337" s="1"/>
    </row>
    <row r="338" spans="4:48" ht="12.75" customHeight="1">
      <c r="D338" s="99"/>
      <c r="E338" s="100"/>
      <c r="F338" s="100"/>
      <c r="G338" s="100"/>
      <c r="H338" s="100"/>
      <c r="AH338" s="1"/>
      <c r="AU338" s="1"/>
      <c r="AV338" s="1"/>
    </row>
    <row r="339" spans="4:48" ht="12.75" customHeight="1">
      <c r="D339" s="99"/>
      <c r="E339" s="100"/>
      <c r="F339" s="100"/>
      <c r="G339" s="100"/>
      <c r="H339" s="100"/>
      <c r="AH339" s="1"/>
      <c r="AU339" s="1"/>
      <c r="AV339" s="1"/>
    </row>
    <row r="340" spans="4:48" ht="12.75" customHeight="1">
      <c r="D340" s="99"/>
      <c r="E340" s="100"/>
      <c r="F340" s="100"/>
      <c r="G340" s="100"/>
      <c r="H340" s="100"/>
      <c r="AH340" s="1"/>
      <c r="AU340" s="1"/>
      <c r="AV340" s="1"/>
    </row>
    <row r="341" spans="4:48" ht="12.75" customHeight="1">
      <c r="D341" s="99"/>
      <c r="E341" s="100"/>
      <c r="F341" s="100"/>
      <c r="G341" s="100"/>
      <c r="H341" s="100"/>
      <c r="AH341" s="1"/>
      <c r="AU341" s="1"/>
      <c r="AV341" s="1"/>
    </row>
    <row r="342" spans="4:48" ht="12.75" customHeight="1">
      <c r="D342" s="99"/>
      <c r="E342" s="100"/>
      <c r="F342" s="100"/>
      <c r="G342" s="100"/>
      <c r="H342" s="100"/>
      <c r="AH342" s="1"/>
      <c r="AU342" s="1"/>
      <c r="AV342" s="1"/>
    </row>
    <row r="343" spans="4:48" ht="12.75" customHeight="1">
      <c r="D343" s="99"/>
      <c r="E343" s="100"/>
      <c r="F343" s="100"/>
      <c r="G343" s="100"/>
      <c r="H343" s="100"/>
      <c r="AH343" s="1"/>
      <c r="AU343" s="1"/>
      <c r="AV343" s="1"/>
    </row>
    <row r="344" spans="4:48" ht="12.75" customHeight="1">
      <c r="D344" s="99"/>
      <c r="E344" s="100"/>
      <c r="F344" s="100"/>
      <c r="G344" s="100"/>
      <c r="H344" s="100"/>
      <c r="AH344" s="1"/>
      <c r="AU344" s="1"/>
      <c r="AV344" s="1"/>
    </row>
    <row r="345" spans="4:48" ht="12.75" customHeight="1">
      <c r="D345" s="99"/>
      <c r="E345" s="100"/>
      <c r="F345" s="100"/>
      <c r="G345" s="100"/>
      <c r="H345" s="100"/>
      <c r="AH345" s="1"/>
      <c r="AU345" s="1"/>
      <c r="AV345" s="1"/>
    </row>
    <row r="346" spans="4:48" ht="12.75" customHeight="1">
      <c r="D346" s="99"/>
      <c r="E346" s="100"/>
      <c r="F346" s="100"/>
      <c r="G346" s="100"/>
      <c r="H346" s="100"/>
      <c r="AH346" s="1"/>
      <c r="AU346" s="1"/>
      <c r="AV346" s="1"/>
    </row>
    <row r="347" spans="4:48" ht="12.75" customHeight="1">
      <c r="D347" s="99"/>
      <c r="E347" s="100"/>
      <c r="F347" s="100"/>
      <c r="G347" s="100"/>
      <c r="H347" s="100"/>
      <c r="AH347" s="1"/>
      <c r="AU347" s="1"/>
      <c r="AV347" s="1"/>
    </row>
    <row r="348" spans="4:48" ht="12.75" customHeight="1">
      <c r="D348" s="99"/>
      <c r="E348" s="100"/>
      <c r="F348" s="100"/>
      <c r="G348" s="100"/>
      <c r="H348" s="100"/>
      <c r="AH348" s="1"/>
      <c r="AU348" s="1"/>
      <c r="AV348" s="1"/>
    </row>
    <row r="349" spans="4:48" ht="12.75" customHeight="1">
      <c r="D349" s="99"/>
      <c r="E349" s="100"/>
      <c r="F349" s="100"/>
      <c r="G349" s="100"/>
      <c r="H349" s="100"/>
      <c r="AH349" s="1"/>
      <c r="AU349" s="1"/>
      <c r="AV349" s="1"/>
    </row>
    <row r="350" spans="4:48" ht="12.75" customHeight="1">
      <c r="D350" s="99"/>
      <c r="E350" s="100"/>
      <c r="F350" s="100"/>
      <c r="G350" s="100"/>
      <c r="H350" s="100"/>
      <c r="AH350" s="1"/>
      <c r="AU350" s="1"/>
      <c r="AV350" s="1"/>
    </row>
    <row r="351" spans="4:48" ht="12.75" customHeight="1">
      <c r="D351" s="99"/>
      <c r="E351" s="100"/>
      <c r="F351" s="100"/>
      <c r="G351" s="100"/>
      <c r="H351" s="100"/>
      <c r="AH351" s="1"/>
      <c r="AU351" s="1"/>
      <c r="AV351" s="1"/>
    </row>
    <row r="352" spans="4:48" ht="12.75" customHeight="1">
      <c r="D352" s="99"/>
      <c r="E352" s="100"/>
      <c r="F352" s="100"/>
      <c r="G352" s="100"/>
      <c r="H352" s="100"/>
      <c r="AH352" s="1"/>
      <c r="AU352" s="1"/>
      <c r="AV352" s="1"/>
    </row>
    <row r="353" spans="4:48" ht="12.75" customHeight="1">
      <c r="D353" s="99"/>
      <c r="E353" s="100"/>
      <c r="F353" s="100"/>
      <c r="G353" s="100"/>
      <c r="H353" s="100"/>
      <c r="AH353" s="1"/>
      <c r="AU353" s="1"/>
      <c r="AV353" s="1"/>
    </row>
    <row r="354" spans="4:48" ht="12.75" customHeight="1">
      <c r="D354" s="99"/>
      <c r="E354" s="100"/>
      <c r="F354" s="100"/>
      <c r="G354" s="100"/>
      <c r="H354" s="100"/>
      <c r="AH354" s="1"/>
      <c r="AU354" s="1"/>
      <c r="AV354" s="1"/>
    </row>
    <row r="355" spans="4:48" ht="12.75" customHeight="1">
      <c r="D355" s="99"/>
      <c r="E355" s="100"/>
      <c r="F355" s="100"/>
      <c r="G355" s="100"/>
      <c r="H355" s="100"/>
      <c r="AH355" s="1"/>
      <c r="AU355" s="1"/>
      <c r="AV355" s="1"/>
    </row>
    <row r="356" spans="4:48" ht="12.75" customHeight="1">
      <c r="D356" s="99"/>
      <c r="E356" s="100"/>
      <c r="F356" s="100"/>
      <c r="G356" s="100"/>
      <c r="H356" s="100"/>
      <c r="AH356" s="1"/>
      <c r="AU356" s="1"/>
      <c r="AV356" s="1"/>
    </row>
    <row r="357" spans="4:48" ht="12.75" customHeight="1">
      <c r="D357" s="99"/>
      <c r="E357" s="100"/>
      <c r="F357" s="100"/>
      <c r="G357" s="100"/>
      <c r="H357" s="100"/>
      <c r="AH357" s="1"/>
      <c r="AU357" s="1"/>
      <c r="AV357" s="1"/>
    </row>
    <row r="358" spans="4:48" ht="12.75" customHeight="1">
      <c r="D358" s="99"/>
      <c r="E358" s="100"/>
      <c r="F358" s="100"/>
      <c r="G358" s="100"/>
      <c r="H358" s="100"/>
      <c r="AH358" s="1"/>
      <c r="AU358" s="1"/>
      <c r="AV358" s="1"/>
    </row>
    <row r="359" spans="4:48" ht="12.75" customHeight="1">
      <c r="D359" s="99"/>
      <c r="E359" s="100"/>
      <c r="F359" s="100"/>
      <c r="G359" s="100"/>
      <c r="H359" s="100"/>
      <c r="AH359" s="1"/>
      <c r="AU359" s="1"/>
      <c r="AV359" s="1"/>
    </row>
    <row r="360" spans="4:48" ht="12.75" customHeight="1">
      <c r="D360" s="99"/>
      <c r="E360" s="100"/>
      <c r="F360" s="100"/>
      <c r="G360" s="100"/>
      <c r="H360" s="100"/>
      <c r="AH360" s="1"/>
      <c r="AU360" s="1"/>
      <c r="AV360" s="1"/>
    </row>
    <row r="361" spans="4:48" ht="12.75" customHeight="1">
      <c r="D361" s="99"/>
      <c r="E361" s="100"/>
      <c r="F361" s="100"/>
      <c r="G361" s="100"/>
      <c r="H361" s="100"/>
      <c r="AH361" s="1"/>
      <c r="AU361" s="1"/>
      <c r="AV361" s="1"/>
    </row>
    <row r="362" spans="4:48" ht="12.75" customHeight="1">
      <c r="D362" s="99"/>
      <c r="E362" s="100"/>
      <c r="F362" s="100"/>
      <c r="G362" s="100"/>
      <c r="H362" s="100"/>
      <c r="AH362" s="1"/>
      <c r="AU362" s="1"/>
      <c r="AV362" s="1"/>
    </row>
    <row r="363" spans="4:48" ht="12.75" customHeight="1">
      <c r="D363" s="99"/>
      <c r="E363" s="100"/>
      <c r="F363" s="100"/>
      <c r="G363" s="100"/>
      <c r="H363" s="100"/>
      <c r="AH363" s="1"/>
      <c r="AU363" s="1"/>
      <c r="AV363" s="1"/>
    </row>
    <row r="364" spans="4:48" ht="12.75" customHeight="1">
      <c r="D364" s="99"/>
      <c r="E364" s="100"/>
      <c r="F364" s="100"/>
      <c r="G364" s="100"/>
      <c r="H364" s="100"/>
      <c r="AH364" s="1"/>
      <c r="AU364" s="1"/>
      <c r="AV364" s="1"/>
    </row>
    <row r="365" spans="4:48" ht="12.75" customHeight="1">
      <c r="D365" s="99"/>
      <c r="E365" s="100"/>
      <c r="F365" s="100"/>
      <c r="G365" s="100"/>
      <c r="H365" s="100"/>
      <c r="AH365" s="1"/>
      <c r="AU365" s="1"/>
      <c r="AV365" s="1"/>
    </row>
    <row r="366" spans="4:48" ht="12.75" customHeight="1">
      <c r="D366" s="99"/>
      <c r="E366" s="100"/>
      <c r="F366" s="100"/>
      <c r="G366" s="100"/>
      <c r="H366" s="100"/>
      <c r="AH366" s="1"/>
      <c r="AU366" s="1"/>
      <c r="AV366" s="1"/>
    </row>
    <row r="367" spans="4:48" ht="12.75" customHeight="1">
      <c r="D367" s="99"/>
      <c r="E367" s="100"/>
      <c r="F367" s="100"/>
      <c r="G367" s="100"/>
      <c r="H367" s="100"/>
      <c r="AH367" s="1"/>
      <c r="AU367" s="1"/>
      <c r="AV367" s="1"/>
    </row>
    <row r="368" spans="4:48" ht="12.75" customHeight="1">
      <c r="D368" s="99"/>
      <c r="E368" s="100"/>
      <c r="F368" s="100"/>
      <c r="G368" s="100"/>
      <c r="H368" s="100"/>
      <c r="AH368" s="1"/>
      <c r="AU368" s="1"/>
      <c r="AV368" s="1"/>
    </row>
    <row r="369" spans="4:48" ht="12.75" customHeight="1">
      <c r="D369" s="99"/>
      <c r="E369" s="100"/>
      <c r="F369" s="100"/>
      <c r="G369" s="100"/>
      <c r="H369" s="100"/>
      <c r="AH369" s="1"/>
      <c r="AU369" s="1"/>
      <c r="AV369" s="1"/>
    </row>
    <row r="370" spans="4:48" ht="12.75" customHeight="1">
      <c r="D370" s="99"/>
      <c r="E370" s="100"/>
      <c r="F370" s="100"/>
      <c r="G370" s="100"/>
      <c r="H370" s="100"/>
      <c r="AH370" s="1"/>
      <c r="AU370" s="1"/>
      <c r="AV370" s="1"/>
    </row>
    <row r="371" spans="4:48" ht="12.75" customHeight="1">
      <c r="D371" s="99"/>
      <c r="E371" s="100"/>
      <c r="F371" s="100"/>
      <c r="G371" s="100"/>
      <c r="H371" s="100"/>
      <c r="AH371" s="1"/>
      <c r="AU371" s="1"/>
      <c r="AV371" s="1"/>
    </row>
    <row r="372" spans="4:48" ht="12.75" customHeight="1">
      <c r="D372" s="99"/>
      <c r="E372" s="100"/>
      <c r="F372" s="100"/>
      <c r="G372" s="100"/>
      <c r="H372" s="100"/>
      <c r="AH372" s="1"/>
      <c r="AU372" s="1"/>
      <c r="AV372" s="1"/>
    </row>
    <row r="373" spans="4:48" ht="12.75" customHeight="1">
      <c r="D373" s="99"/>
      <c r="E373" s="100"/>
      <c r="F373" s="100"/>
      <c r="G373" s="100"/>
      <c r="H373" s="100"/>
      <c r="AH373" s="1"/>
      <c r="AU373" s="1"/>
      <c r="AV373" s="1"/>
    </row>
    <row r="374" spans="4:48" ht="12.75" customHeight="1">
      <c r="D374" s="99"/>
      <c r="E374" s="100"/>
      <c r="F374" s="100"/>
      <c r="G374" s="100"/>
      <c r="H374" s="100"/>
      <c r="AH374" s="1"/>
      <c r="AU374" s="1"/>
      <c r="AV374" s="1"/>
    </row>
    <row r="375" spans="4:48" ht="12.75" customHeight="1">
      <c r="D375" s="99"/>
      <c r="E375" s="100"/>
      <c r="F375" s="100"/>
      <c r="G375" s="100"/>
      <c r="H375" s="100"/>
      <c r="AH375" s="1"/>
      <c r="AU375" s="1"/>
      <c r="AV375" s="1"/>
    </row>
    <row r="376" spans="4:48" ht="12.75" customHeight="1">
      <c r="D376" s="99"/>
      <c r="E376" s="100"/>
      <c r="F376" s="100"/>
      <c r="G376" s="100"/>
      <c r="H376" s="100"/>
      <c r="AH376" s="1"/>
      <c r="AU376" s="1"/>
      <c r="AV376" s="1"/>
    </row>
    <row r="377" spans="4:48" ht="12.75" customHeight="1">
      <c r="D377" s="99"/>
      <c r="E377" s="100"/>
      <c r="F377" s="100"/>
      <c r="G377" s="100"/>
      <c r="H377" s="100"/>
      <c r="AH377" s="1"/>
      <c r="AU377" s="1"/>
      <c r="AV377" s="1"/>
    </row>
    <row r="378" spans="4:48" ht="12.75" customHeight="1">
      <c r="D378" s="99"/>
      <c r="E378" s="100"/>
      <c r="F378" s="100"/>
      <c r="G378" s="100"/>
      <c r="H378" s="100"/>
      <c r="AH378" s="1"/>
      <c r="AU378" s="1"/>
      <c r="AV378" s="1"/>
    </row>
    <row r="379" spans="4:48" ht="12.75" customHeight="1">
      <c r="D379" s="99"/>
      <c r="E379" s="100"/>
      <c r="F379" s="100"/>
      <c r="G379" s="100"/>
      <c r="H379" s="100"/>
      <c r="AH379" s="1"/>
      <c r="AU379" s="1"/>
      <c r="AV379" s="1"/>
    </row>
    <row r="380" spans="4:48" ht="12.75" customHeight="1">
      <c r="D380" s="99"/>
      <c r="E380" s="100"/>
      <c r="F380" s="100"/>
      <c r="G380" s="100"/>
      <c r="H380" s="100"/>
      <c r="AH380" s="1"/>
      <c r="AU380" s="1"/>
      <c r="AV380" s="1"/>
    </row>
    <row r="381" spans="4:48" ht="12.75" customHeight="1">
      <c r="D381" s="99"/>
      <c r="E381" s="100"/>
      <c r="F381" s="100"/>
      <c r="G381" s="100"/>
      <c r="H381" s="100"/>
      <c r="AH381" s="1"/>
      <c r="AU381" s="1"/>
      <c r="AV381" s="1"/>
    </row>
    <row r="382" spans="4:48" ht="12.75" customHeight="1">
      <c r="D382" s="99"/>
      <c r="E382" s="100"/>
      <c r="F382" s="100"/>
      <c r="G382" s="100"/>
      <c r="H382" s="100"/>
      <c r="AH382" s="1"/>
      <c r="AU382" s="1"/>
      <c r="AV382" s="1"/>
    </row>
    <row r="383" spans="4:48" ht="12.75" customHeight="1">
      <c r="D383" s="99"/>
      <c r="E383" s="100"/>
      <c r="F383" s="100"/>
      <c r="G383" s="100"/>
      <c r="H383" s="100"/>
      <c r="AH383" s="1"/>
      <c r="AU383" s="1"/>
      <c r="AV383" s="1"/>
    </row>
    <row r="384" spans="4:48" ht="12.75" customHeight="1">
      <c r="D384" s="99"/>
      <c r="E384" s="100"/>
      <c r="F384" s="100"/>
      <c r="G384" s="100"/>
      <c r="H384" s="100"/>
      <c r="AH384" s="1"/>
      <c r="AU384" s="1"/>
      <c r="AV384" s="1"/>
    </row>
    <row r="385" spans="4:51" ht="12.75" customHeight="1">
      <c r="D385" s="99"/>
      <c r="E385" s="100"/>
      <c r="F385" s="100"/>
      <c r="G385" s="100"/>
      <c r="H385" s="100"/>
      <c r="AH385" s="1"/>
      <c r="AU385" s="1"/>
      <c r="AV385" s="1"/>
    </row>
    <row r="386" spans="4:51" ht="12.75" customHeight="1">
      <c r="D386" s="99"/>
      <c r="E386" s="100"/>
      <c r="F386" s="100"/>
      <c r="G386" s="100"/>
      <c r="H386" s="100"/>
      <c r="AH386" s="1"/>
      <c r="AU386" s="1"/>
      <c r="AV386" s="1"/>
    </row>
    <row r="387" spans="4:51" ht="12.75" customHeight="1">
      <c r="D387" s="99"/>
      <c r="E387" s="100"/>
      <c r="F387" s="100"/>
      <c r="G387" s="100"/>
      <c r="H387" s="100"/>
      <c r="AH387" s="1"/>
      <c r="AU387" s="1"/>
      <c r="AV387" s="1"/>
    </row>
    <row r="388" spans="4:51" ht="12.75" customHeight="1">
      <c r="D388" s="99"/>
      <c r="E388" s="100"/>
      <c r="F388" s="100"/>
      <c r="G388" s="100"/>
      <c r="H388" s="100"/>
      <c r="AH388" s="1"/>
      <c r="AU388" s="1"/>
      <c r="AV388" s="1"/>
    </row>
    <row r="389" spans="4:51" ht="12.75" customHeight="1">
      <c r="D389" s="99"/>
      <c r="E389" s="100"/>
      <c r="F389" s="100"/>
      <c r="G389" s="100"/>
      <c r="H389" s="100"/>
      <c r="AH389" s="1"/>
      <c r="AU389" s="1"/>
      <c r="AV389" s="1"/>
    </row>
    <row r="390" spans="4:51" ht="12.75" customHeight="1">
      <c r="D390" s="99"/>
      <c r="E390" s="100"/>
      <c r="F390" s="100"/>
      <c r="G390" s="100"/>
      <c r="H390" s="100"/>
      <c r="AH390" s="1"/>
      <c r="AU390" s="1"/>
      <c r="AV390" s="1"/>
    </row>
    <row r="391" spans="4:51" ht="12.75" customHeight="1">
      <c r="D391" s="99"/>
      <c r="E391" s="100"/>
      <c r="F391" s="100"/>
      <c r="G391" s="100"/>
      <c r="H391" s="100"/>
      <c r="AH391" s="1"/>
      <c r="AU391" s="1"/>
      <c r="AV391" s="1"/>
    </row>
    <row r="392" spans="4:51" ht="12.75" customHeight="1">
      <c r="D392" s="99"/>
      <c r="E392" s="100"/>
      <c r="F392" s="100"/>
      <c r="G392" s="100"/>
      <c r="H392" s="100"/>
      <c r="AH392" s="1"/>
      <c r="AU392" s="1"/>
      <c r="AV392" s="1"/>
    </row>
    <row r="393" spans="4:51" ht="12.75" customHeight="1">
      <c r="D393" s="99"/>
      <c r="E393" s="100"/>
      <c r="F393" s="100"/>
      <c r="G393" s="100"/>
      <c r="H393" s="100"/>
      <c r="AH393" s="1"/>
      <c r="AU393" s="1"/>
      <c r="AV393" s="1"/>
    </row>
    <row r="394" spans="4:51" ht="12.75" customHeight="1">
      <c r="D394" s="99"/>
      <c r="E394" s="100"/>
      <c r="F394" s="100"/>
      <c r="G394" s="100"/>
      <c r="H394" s="100"/>
      <c r="AH394" s="1"/>
      <c r="AU394" s="1"/>
      <c r="AV394" s="1"/>
    </row>
    <row r="395" spans="4:51" ht="12.75" customHeight="1">
      <c r="D395" s="99"/>
      <c r="E395" s="100"/>
      <c r="F395" s="100"/>
      <c r="G395" s="100"/>
      <c r="H395" s="100"/>
      <c r="AD395" s="101"/>
      <c r="AE395" s="102"/>
      <c r="AF395" s="101"/>
      <c r="AH395" s="1"/>
      <c r="AU395" s="1"/>
      <c r="AV395" s="1"/>
    </row>
    <row r="396" spans="4:51" ht="12.75" customHeight="1">
      <c r="D396" s="99"/>
      <c r="E396" s="100"/>
      <c r="F396" s="100"/>
      <c r="G396" s="100"/>
      <c r="H396" s="100"/>
      <c r="AD396" s="103"/>
      <c r="AE396" s="103"/>
      <c r="AF396" s="101"/>
      <c r="AG396" s="102"/>
      <c r="AH396" s="104"/>
      <c r="AI396" s="105"/>
      <c r="AJ396" s="106"/>
      <c r="AK396" s="107"/>
      <c r="AL396" s="107"/>
      <c r="AM396" s="108"/>
      <c r="AN396" s="109"/>
      <c r="AO396" s="107"/>
      <c r="AP396" s="107"/>
      <c r="AQ396" s="110">
        <v>20000</v>
      </c>
      <c r="AR396" s="107"/>
      <c r="AS396" s="101">
        <v>24</v>
      </c>
      <c r="AT396" s="111"/>
      <c r="AU396" s="112"/>
      <c r="AV396" s="111"/>
      <c r="AW396" s="107"/>
      <c r="AX396" s="107"/>
      <c r="AY396" s="107"/>
    </row>
    <row r="397" spans="4:51" ht="12.75" customHeight="1">
      <c r="D397" s="99"/>
      <c r="E397" s="100"/>
      <c r="F397" s="100"/>
      <c r="G397" s="100"/>
      <c r="H397" s="100"/>
      <c r="AD397" s="103"/>
      <c r="AE397" s="103"/>
      <c r="AF397" s="101"/>
      <c r="AG397" s="103"/>
      <c r="AH397" s="113"/>
      <c r="AI397" s="114"/>
      <c r="AJ397" s="115"/>
      <c r="AK397" s="110"/>
      <c r="AL397" s="110"/>
      <c r="AM397" s="116"/>
      <c r="AN397" s="117"/>
      <c r="AO397" s="110"/>
      <c r="AP397" s="110"/>
      <c r="AQ397" s="110">
        <v>15000</v>
      </c>
      <c r="AR397" s="110"/>
      <c r="AS397" s="103"/>
      <c r="AT397" s="118"/>
      <c r="AU397" s="119"/>
      <c r="AV397" s="118"/>
      <c r="AW397" s="110"/>
      <c r="AX397" s="110"/>
      <c r="AY397" s="110"/>
    </row>
    <row r="398" spans="4:51" ht="12.75" customHeight="1">
      <c r="D398" s="99"/>
      <c r="E398" s="100"/>
      <c r="F398" s="100"/>
      <c r="G398" s="100"/>
      <c r="H398" s="100"/>
      <c r="AD398" s="103"/>
      <c r="AE398" s="103"/>
      <c r="AF398" s="101"/>
      <c r="AG398" s="103"/>
      <c r="AH398" s="113"/>
      <c r="AI398" s="114"/>
      <c r="AJ398" s="115"/>
      <c r="AK398" s="110"/>
      <c r="AL398" s="110"/>
      <c r="AM398" s="116"/>
      <c r="AN398" s="117"/>
      <c r="AO398" s="110"/>
      <c r="AP398" s="110"/>
      <c r="AQ398" s="110"/>
      <c r="AR398" s="110"/>
      <c r="AS398" s="103"/>
      <c r="AT398" s="118"/>
      <c r="AU398" s="119"/>
      <c r="AV398" s="118"/>
      <c r="AW398" s="110"/>
      <c r="AX398" s="110"/>
      <c r="AY398" s="110"/>
    </row>
    <row r="399" spans="4:51" ht="12.75" customHeight="1">
      <c r="D399" s="99"/>
      <c r="E399" s="100"/>
      <c r="F399" s="100"/>
      <c r="G399" s="100"/>
      <c r="H399" s="100"/>
      <c r="AD399" s="103"/>
      <c r="AE399" s="103"/>
      <c r="AF399" s="101"/>
      <c r="AG399" s="103"/>
      <c r="AH399" s="113"/>
      <c r="AI399" s="114"/>
      <c r="AJ399" s="115"/>
      <c r="AK399" s="110"/>
      <c r="AL399" s="110"/>
      <c r="AM399" s="116"/>
      <c r="AN399" s="117"/>
      <c r="AO399" s="110"/>
      <c r="AP399" s="110"/>
      <c r="AQ399" s="110"/>
      <c r="AR399" s="110"/>
      <c r="AS399" s="103"/>
      <c r="AT399" s="118"/>
      <c r="AU399" s="119"/>
      <c r="AV399" s="118"/>
      <c r="AW399" s="110"/>
      <c r="AX399" s="110"/>
      <c r="AY399" s="110"/>
    </row>
    <row r="400" spans="4:51" ht="12.75" customHeight="1">
      <c r="D400" s="99"/>
      <c r="E400" s="100"/>
      <c r="F400" s="100"/>
      <c r="G400" s="100"/>
      <c r="H400" s="100"/>
      <c r="AD400" s="103"/>
      <c r="AE400" s="103"/>
      <c r="AF400" s="101"/>
      <c r="AG400" s="103"/>
      <c r="AH400" s="113"/>
      <c r="AI400" s="114"/>
      <c r="AJ400" s="115"/>
      <c r="AK400" s="110"/>
      <c r="AL400" s="110"/>
      <c r="AM400" s="116"/>
      <c r="AN400" s="117"/>
      <c r="AO400" s="110"/>
      <c r="AP400" s="110"/>
      <c r="AQ400" s="110"/>
      <c r="AR400" s="110"/>
      <c r="AS400" s="103"/>
      <c r="AT400" s="118"/>
      <c r="AU400" s="119"/>
      <c r="AV400" s="118"/>
      <c r="AW400" s="110"/>
      <c r="AX400" s="110"/>
      <c r="AY400" s="110"/>
    </row>
    <row r="401" spans="4:51" ht="12.75" customHeight="1">
      <c r="D401" s="99"/>
      <c r="E401" s="100"/>
      <c r="F401" s="100"/>
      <c r="G401" s="100"/>
      <c r="H401" s="100"/>
      <c r="AD401" s="103"/>
      <c r="AE401" s="103"/>
      <c r="AF401" s="101"/>
      <c r="AG401" s="103"/>
      <c r="AH401" s="113"/>
      <c r="AI401" s="114"/>
      <c r="AJ401" s="115"/>
      <c r="AK401" s="110"/>
      <c r="AL401" s="110"/>
      <c r="AM401" s="116"/>
      <c r="AN401" s="117"/>
      <c r="AO401" s="110"/>
      <c r="AP401" s="110"/>
      <c r="AQ401" s="110"/>
      <c r="AR401" s="110"/>
      <c r="AS401" s="103"/>
      <c r="AT401" s="118"/>
      <c r="AU401" s="119"/>
      <c r="AV401" s="118"/>
      <c r="AW401" s="110"/>
      <c r="AX401" s="110"/>
      <c r="AY401" s="110"/>
    </row>
    <row r="402" spans="4:51" ht="12.75" customHeight="1">
      <c r="D402" s="99"/>
      <c r="E402" s="100"/>
      <c r="F402" s="100"/>
      <c r="G402" s="100"/>
      <c r="H402" s="100"/>
      <c r="AD402" s="103"/>
      <c r="AE402" s="103"/>
      <c r="AF402" s="101"/>
      <c r="AG402" s="103"/>
      <c r="AH402" s="113"/>
      <c r="AI402" s="114"/>
      <c r="AJ402" s="115"/>
      <c r="AK402" s="110"/>
      <c r="AL402" s="110"/>
      <c r="AM402" s="116"/>
      <c r="AN402" s="117"/>
      <c r="AO402" s="110"/>
      <c r="AP402" s="110"/>
      <c r="AQ402" s="110"/>
      <c r="AR402" s="110"/>
      <c r="AS402" s="103"/>
      <c r="AT402" s="118"/>
      <c r="AU402" s="119"/>
      <c r="AV402" s="118"/>
      <c r="AW402" s="110"/>
      <c r="AX402" s="110"/>
      <c r="AY402" s="110"/>
    </row>
    <row r="403" spans="4:51" ht="12.75" customHeight="1">
      <c r="D403" s="99"/>
      <c r="E403" s="100"/>
      <c r="F403" s="100"/>
      <c r="G403" s="100"/>
      <c r="H403" s="100"/>
      <c r="AD403" s="103"/>
      <c r="AE403" s="103"/>
      <c r="AF403" s="101"/>
      <c r="AG403" s="103"/>
      <c r="AH403" s="113"/>
      <c r="AI403" s="114"/>
      <c r="AJ403" s="115"/>
      <c r="AK403" s="110"/>
      <c r="AL403" s="110"/>
      <c r="AM403" s="116"/>
      <c r="AN403" s="117"/>
      <c r="AO403" s="110"/>
      <c r="AP403" s="110"/>
      <c r="AQ403" s="110"/>
      <c r="AR403" s="110"/>
      <c r="AS403" s="103"/>
      <c r="AT403" s="118"/>
      <c r="AU403" s="119"/>
      <c r="AV403" s="118"/>
      <c r="AW403" s="110"/>
      <c r="AX403" s="110"/>
      <c r="AY403" s="110"/>
    </row>
    <row r="404" spans="4:51" ht="12.75" customHeight="1">
      <c r="D404" s="99"/>
      <c r="E404" s="100"/>
      <c r="F404" s="100"/>
      <c r="G404" s="100"/>
      <c r="H404" s="100"/>
      <c r="AD404" s="103"/>
      <c r="AE404" s="103"/>
      <c r="AF404" s="101"/>
      <c r="AG404" s="103"/>
      <c r="AH404" s="113"/>
      <c r="AI404" s="114"/>
      <c r="AJ404" s="115"/>
      <c r="AK404" s="110"/>
      <c r="AL404" s="110"/>
      <c r="AM404" s="116"/>
      <c r="AN404" s="117"/>
      <c r="AO404" s="110"/>
      <c r="AP404" s="110"/>
      <c r="AQ404" s="110"/>
      <c r="AR404" s="110"/>
      <c r="AS404" s="103"/>
      <c r="AT404" s="118"/>
      <c r="AU404" s="119"/>
      <c r="AV404" s="118"/>
      <c r="AW404" s="110"/>
      <c r="AX404" s="110"/>
      <c r="AY404" s="110"/>
    </row>
    <row r="405" spans="4:51" ht="12.75" customHeight="1">
      <c r="D405" s="99"/>
      <c r="E405" s="100"/>
      <c r="F405" s="100"/>
      <c r="G405" s="100"/>
      <c r="H405" s="100"/>
      <c r="AD405" s="4"/>
      <c r="AG405" s="103"/>
      <c r="AH405" s="113"/>
      <c r="AI405" s="114"/>
      <c r="AJ405" s="115"/>
      <c r="AK405" s="110"/>
      <c r="AL405" s="110"/>
      <c r="AM405" s="116"/>
      <c r="AN405" s="117"/>
      <c r="AO405" s="110"/>
      <c r="AP405" s="110"/>
      <c r="AQ405" s="110"/>
      <c r="AR405" s="110"/>
      <c r="AS405" s="103"/>
      <c r="AT405" s="118"/>
      <c r="AU405" s="119"/>
      <c r="AV405" s="118"/>
      <c r="AW405" s="110"/>
      <c r="AX405" s="110"/>
      <c r="AY405" s="110"/>
    </row>
    <row r="406" spans="4:51" ht="12.75" customHeight="1">
      <c r="D406" s="99"/>
      <c r="E406" s="100"/>
      <c r="F406" s="100"/>
      <c r="G406" s="100"/>
      <c r="H406" s="100"/>
      <c r="AD406" s="4"/>
      <c r="AH406" s="120"/>
      <c r="AQ406" s="96"/>
    </row>
    <row r="407" spans="4:51" ht="12.75" customHeight="1">
      <c r="D407" s="99"/>
      <c r="E407" s="100"/>
      <c r="F407" s="100"/>
      <c r="G407" s="100"/>
      <c r="H407" s="100"/>
      <c r="AD407" s="4"/>
      <c r="AH407" s="120"/>
      <c r="AQ407" s="96"/>
    </row>
    <row r="408" spans="4:51" ht="12.75" customHeight="1">
      <c r="D408" s="99"/>
      <c r="E408" s="100"/>
      <c r="F408" s="100"/>
      <c r="G408" s="100"/>
      <c r="H408" s="100"/>
      <c r="AD408" s="4"/>
      <c r="AH408" s="120"/>
      <c r="AQ408" s="96"/>
    </row>
    <row r="409" spans="4:51" ht="12.75" customHeight="1">
      <c r="D409" s="99"/>
      <c r="E409" s="100"/>
      <c r="F409" s="100"/>
      <c r="G409" s="100"/>
      <c r="H409" s="100"/>
      <c r="AD409" s="4"/>
      <c r="AH409" s="120"/>
      <c r="AQ409" s="96"/>
    </row>
    <row r="410" spans="4:51" ht="12.75" customHeight="1">
      <c r="D410" s="99"/>
      <c r="E410" s="100"/>
      <c r="F410" s="100"/>
      <c r="G410" s="100"/>
      <c r="H410" s="100"/>
      <c r="AD410" s="4"/>
      <c r="AH410" s="120"/>
      <c r="AQ410" s="96"/>
    </row>
    <row r="411" spans="4:51" ht="12.75" customHeight="1">
      <c r="D411" s="99"/>
      <c r="E411" s="100"/>
      <c r="F411" s="100"/>
      <c r="G411" s="100"/>
      <c r="H411" s="100"/>
      <c r="AD411" s="4"/>
      <c r="AH411" s="120"/>
      <c r="AQ411" s="96"/>
    </row>
    <row r="412" spans="4:51" ht="12.75" customHeight="1">
      <c r="D412" s="99"/>
      <c r="E412" s="100"/>
      <c r="F412" s="100"/>
      <c r="G412" s="100"/>
      <c r="H412" s="100"/>
      <c r="AD412" s="4"/>
      <c r="AH412" s="120"/>
      <c r="AQ412" s="96"/>
    </row>
    <row r="413" spans="4:51" ht="12.75" customHeight="1">
      <c r="D413" s="99"/>
      <c r="E413" s="100"/>
      <c r="F413" s="100"/>
      <c r="G413" s="100"/>
      <c r="H413" s="100"/>
      <c r="AH413" s="120"/>
      <c r="AQ413" s="96"/>
    </row>
    <row r="414" spans="4:51" ht="12.75" customHeight="1">
      <c r="D414" s="99"/>
      <c r="E414" s="100"/>
      <c r="F414" s="100"/>
      <c r="G414" s="100"/>
      <c r="H414" s="100"/>
      <c r="AH414" s="120"/>
    </row>
    <row r="415" spans="4:51" ht="12.75" customHeight="1">
      <c r="D415" s="99"/>
      <c r="E415" s="100"/>
      <c r="F415" s="100"/>
      <c r="G415" s="100"/>
      <c r="H415" s="100"/>
      <c r="AH415" s="120"/>
    </row>
    <row r="416" spans="4:51" ht="12.75" customHeight="1">
      <c r="D416" s="99"/>
      <c r="E416" s="100"/>
      <c r="F416" s="100"/>
      <c r="G416" s="100"/>
      <c r="H416" s="100"/>
      <c r="AH416" s="120"/>
    </row>
    <row r="417" spans="4:34" ht="12.75" customHeight="1">
      <c r="D417" s="99"/>
      <c r="E417" s="100"/>
      <c r="F417" s="100"/>
      <c r="G417" s="100"/>
      <c r="H417" s="100"/>
      <c r="AH417" s="120"/>
    </row>
    <row r="418" spans="4:34" ht="12.75" customHeight="1">
      <c r="D418" s="99"/>
      <c r="E418" s="100"/>
      <c r="F418" s="100"/>
      <c r="G418" s="100"/>
      <c r="H418" s="100"/>
      <c r="AH418" s="120"/>
    </row>
    <row r="419" spans="4:34" ht="12.75" customHeight="1">
      <c r="D419" s="99"/>
      <c r="E419" s="100"/>
      <c r="F419" s="100"/>
      <c r="G419" s="100"/>
      <c r="H419" s="100"/>
      <c r="AH419" s="120"/>
    </row>
    <row r="420" spans="4:34" ht="12.75" customHeight="1">
      <c r="D420" s="99"/>
      <c r="E420" s="100"/>
      <c r="F420" s="100"/>
      <c r="G420" s="100"/>
      <c r="H420" s="100"/>
      <c r="AH420" s="120"/>
    </row>
    <row r="421" spans="4:34" ht="12.75" customHeight="1">
      <c r="D421" s="99"/>
      <c r="E421" s="100"/>
      <c r="F421" s="100"/>
      <c r="G421" s="100"/>
      <c r="H421" s="100"/>
    </row>
    <row r="422" spans="4:34" ht="12.75" customHeight="1">
      <c r="D422" s="99"/>
      <c r="E422" s="100"/>
      <c r="F422" s="100"/>
      <c r="G422" s="100"/>
      <c r="H422" s="100"/>
    </row>
    <row r="423" spans="4:34" ht="12.75" customHeight="1">
      <c r="D423" s="99"/>
      <c r="E423" s="100"/>
      <c r="F423" s="100"/>
      <c r="G423" s="100"/>
      <c r="H423" s="100"/>
    </row>
    <row r="424" spans="4:34" ht="12.75" customHeight="1">
      <c r="D424" s="99"/>
      <c r="E424" s="100"/>
      <c r="F424" s="100"/>
      <c r="G424" s="100"/>
      <c r="H424" s="100"/>
    </row>
    <row r="425" spans="4:34" ht="12.75" customHeight="1">
      <c r="D425" s="99"/>
      <c r="E425" s="100"/>
      <c r="F425" s="100"/>
      <c r="G425" s="100"/>
      <c r="H425" s="100"/>
    </row>
    <row r="426" spans="4:34" ht="12.75" customHeight="1">
      <c r="D426" s="99"/>
      <c r="E426" s="100"/>
      <c r="F426" s="100"/>
      <c r="G426" s="100"/>
      <c r="H426" s="100"/>
    </row>
    <row r="427" spans="4:34" ht="12.75" customHeight="1">
      <c r="D427" s="99"/>
      <c r="E427" s="100"/>
      <c r="F427" s="100"/>
      <c r="G427" s="100"/>
      <c r="H427" s="100"/>
    </row>
    <row r="428" spans="4:34" ht="12.75" customHeight="1">
      <c r="D428" s="99"/>
      <c r="E428" s="100"/>
      <c r="F428" s="100"/>
      <c r="G428" s="100"/>
      <c r="H428" s="100"/>
    </row>
    <row r="429" spans="4:34" ht="12.75" customHeight="1">
      <c r="D429" s="99"/>
      <c r="E429" s="100"/>
      <c r="F429" s="100"/>
      <c r="G429" s="100"/>
      <c r="H429" s="100"/>
    </row>
    <row r="430" spans="4:34" ht="12.75" customHeight="1">
      <c r="D430" s="99"/>
      <c r="E430" s="100"/>
      <c r="F430" s="100"/>
      <c r="G430" s="100"/>
      <c r="H430" s="100"/>
    </row>
    <row r="431" spans="4:34" ht="12.75" customHeight="1">
      <c r="D431" s="99"/>
      <c r="E431" s="100"/>
      <c r="F431" s="100"/>
      <c r="G431" s="100"/>
      <c r="H431" s="100"/>
    </row>
    <row r="432" spans="4:34" ht="12.75" customHeight="1">
      <c r="D432" s="99"/>
      <c r="E432" s="100"/>
      <c r="F432" s="100"/>
      <c r="G432" s="100"/>
      <c r="H432" s="100"/>
    </row>
    <row r="433" spans="4:8" ht="12.75" customHeight="1">
      <c r="D433" s="99"/>
      <c r="E433" s="100"/>
      <c r="F433" s="100"/>
      <c r="G433" s="100"/>
      <c r="H433" s="100"/>
    </row>
    <row r="434" spans="4:8" ht="12.75" customHeight="1">
      <c r="D434" s="99"/>
      <c r="E434" s="100"/>
      <c r="F434" s="100"/>
      <c r="G434" s="100"/>
      <c r="H434" s="100"/>
    </row>
    <row r="435" spans="4:8" ht="12.75" customHeight="1">
      <c r="D435" s="99"/>
      <c r="E435" s="100"/>
      <c r="F435" s="100"/>
      <c r="G435" s="100"/>
      <c r="H435" s="100"/>
    </row>
    <row r="436" spans="4:8" ht="12.75" customHeight="1">
      <c r="D436" s="99"/>
      <c r="E436" s="100"/>
      <c r="F436" s="100"/>
      <c r="G436" s="100"/>
      <c r="H436" s="100"/>
    </row>
    <row r="437" spans="4:8" ht="12.75" customHeight="1">
      <c r="D437" s="99"/>
      <c r="E437" s="100"/>
      <c r="F437" s="100"/>
      <c r="G437" s="100"/>
      <c r="H437" s="100"/>
    </row>
    <row r="438" spans="4:8" ht="12.75" customHeight="1">
      <c r="D438" s="99"/>
      <c r="E438" s="100"/>
      <c r="F438" s="100"/>
      <c r="G438" s="100"/>
      <c r="H438" s="100"/>
    </row>
    <row r="439" spans="4:8" ht="12.75" customHeight="1">
      <c r="D439" s="99"/>
      <c r="E439" s="100"/>
      <c r="F439" s="100"/>
      <c r="G439" s="100"/>
      <c r="H439" s="100"/>
    </row>
    <row r="440" spans="4:8" ht="12.75" customHeight="1">
      <c r="D440" s="99"/>
      <c r="E440" s="100"/>
      <c r="F440" s="100"/>
      <c r="G440" s="100"/>
      <c r="H440" s="100"/>
    </row>
    <row r="441" spans="4:8" ht="12.75" customHeight="1">
      <c r="D441" s="99"/>
      <c r="E441" s="100"/>
      <c r="F441" s="100"/>
      <c r="G441" s="100"/>
      <c r="H441" s="100"/>
    </row>
    <row r="442" spans="4:8" ht="12.75" customHeight="1">
      <c r="D442" s="99"/>
      <c r="E442" s="100"/>
      <c r="F442" s="100"/>
      <c r="G442" s="100"/>
      <c r="H442" s="100"/>
    </row>
    <row r="443" spans="4:8" ht="12.75" customHeight="1">
      <c r="D443" s="99"/>
      <c r="E443" s="100"/>
      <c r="F443" s="100"/>
      <c r="G443" s="100"/>
      <c r="H443" s="100"/>
    </row>
    <row r="444" spans="4:8" ht="12.75" customHeight="1">
      <c r="D444" s="99"/>
      <c r="E444" s="100"/>
      <c r="F444" s="100"/>
      <c r="G444" s="100"/>
      <c r="H444" s="100"/>
    </row>
    <row r="445" spans="4:8" ht="12.75" customHeight="1">
      <c r="D445" s="99"/>
      <c r="E445" s="100"/>
      <c r="F445" s="100"/>
      <c r="G445" s="100"/>
      <c r="H445" s="100"/>
    </row>
    <row r="446" spans="4:8" ht="12.75" customHeight="1">
      <c r="D446" s="99"/>
      <c r="E446" s="100"/>
      <c r="F446" s="100"/>
      <c r="G446" s="100"/>
      <c r="H446" s="100"/>
    </row>
    <row r="447" spans="4:8" ht="12.75" customHeight="1">
      <c r="D447" s="99"/>
      <c r="E447" s="100"/>
      <c r="F447" s="100"/>
      <c r="G447" s="100"/>
      <c r="H447" s="100"/>
    </row>
    <row r="448" spans="4:8" ht="12.75" customHeight="1">
      <c r="D448" s="99"/>
      <c r="E448" s="100"/>
      <c r="F448" s="100"/>
      <c r="G448" s="100"/>
      <c r="H448" s="100"/>
    </row>
    <row r="449" spans="4:8" ht="12.75" customHeight="1">
      <c r="D449" s="99"/>
      <c r="E449" s="100"/>
      <c r="F449" s="100"/>
      <c r="G449" s="100"/>
      <c r="H449" s="100"/>
    </row>
    <row r="450" spans="4:8" ht="12.75" customHeight="1">
      <c r="D450" s="99"/>
      <c r="E450" s="100"/>
      <c r="F450" s="100"/>
      <c r="G450" s="100"/>
      <c r="H450" s="100"/>
    </row>
    <row r="451" spans="4:8" ht="12.75" customHeight="1">
      <c r="D451" s="99"/>
      <c r="E451" s="100"/>
      <c r="F451" s="100"/>
      <c r="G451" s="100"/>
      <c r="H451" s="100"/>
    </row>
    <row r="452" spans="4:8" ht="12.75" customHeight="1">
      <c r="D452" s="99"/>
      <c r="E452" s="100"/>
      <c r="F452" s="100"/>
      <c r="G452" s="100"/>
      <c r="H452" s="100"/>
    </row>
    <row r="453" spans="4:8" ht="12.75" customHeight="1">
      <c r="D453" s="99"/>
      <c r="E453" s="100"/>
      <c r="F453" s="100"/>
      <c r="G453" s="100"/>
      <c r="H453" s="100"/>
    </row>
    <row r="454" spans="4:8" ht="12.75" customHeight="1">
      <c r="D454" s="99"/>
      <c r="E454" s="100"/>
      <c r="F454" s="100"/>
      <c r="G454" s="100"/>
      <c r="H454" s="100"/>
    </row>
    <row r="455" spans="4:8" ht="12.75" customHeight="1">
      <c r="D455" s="99"/>
      <c r="E455" s="100"/>
      <c r="F455" s="100"/>
      <c r="G455" s="100"/>
      <c r="H455" s="100"/>
    </row>
    <row r="456" spans="4:8" ht="12.75" customHeight="1">
      <c r="D456" s="99"/>
      <c r="E456" s="100"/>
      <c r="F456" s="100"/>
      <c r="G456" s="100"/>
      <c r="H456" s="100"/>
    </row>
    <row r="457" spans="4:8" ht="12.75" customHeight="1">
      <c r="D457" s="99"/>
      <c r="E457" s="100"/>
      <c r="F457" s="100"/>
      <c r="G457" s="100"/>
      <c r="H457" s="100"/>
    </row>
    <row r="458" spans="4:8" ht="12.75" customHeight="1">
      <c r="D458" s="99"/>
      <c r="E458" s="100"/>
      <c r="F458" s="100"/>
      <c r="G458" s="100"/>
      <c r="H458" s="100"/>
    </row>
    <row r="459" spans="4:8" ht="12.75" customHeight="1">
      <c r="D459" s="99"/>
      <c r="E459" s="100"/>
      <c r="F459" s="100"/>
      <c r="G459" s="100"/>
      <c r="H459" s="100"/>
    </row>
    <row r="460" spans="4:8" ht="12.75" customHeight="1">
      <c r="D460" s="99"/>
      <c r="E460" s="100"/>
      <c r="F460" s="100"/>
      <c r="G460" s="100"/>
      <c r="H460" s="100"/>
    </row>
    <row r="461" spans="4:8" ht="12.75" customHeight="1">
      <c r="D461" s="99"/>
      <c r="E461" s="100"/>
      <c r="F461" s="100"/>
      <c r="G461" s="100"/>
      <c r="H461" s="100"/>
    </row>
    <row r="462" spans="4:8" ht="12.75" customHeight="1">
      <c r="D462" s="99"/>
      <c r="E462" s="100"/>
      <c r="F462" s="100"/>
      <c r="G462" s="100"/>
      <c r="H462" s="100"/>
    </row>
    <row r="463" spans="4:8" ht="12.75" customHeight="1">
      <c r="D463" s="99"/>
      <c r="E463" s="100"/>
      <c r="F463" s="100"/>
      <c r="G463" s="100"/>
      <c r="H463" s="100"/>
    </row>
    <row r="464" spans="4:8" ht="12.75" customHeight="1">
      <c r="D464" s="99"/>
      <c r="E464" s="100"/>
      <c r="F464" s="100"/>
      <c r="G464" s="100"/>
      <c r="H464" s="100"/>
    </row>
    <row r="465" spans="4:8" ht="12.75" customHeight="1">
      <c r="D465" s="99"/>
      <c r="E465" s="100"/>
      <c r="F465" s="100"/>
      <c r="G465" s="100"/>
      <c r="H465" s="100"/>
    </row>
    <row r="466" spans="4:8" ht="12.75" customHeight="1">
      <c r="D466" s="99"/>
      <c r="E466" s="100"/>
      <c r="F466" s="100"/>
      <c r="G466" s="100"/>
      <c r="H466" s="100"/>
    </row>
    <row r="467" spans="4:8" ht="12.75" customHeight="1">
      <c r="D467" s="99"/>
      <c r="E467" s="100"/>
      <c r="F467" s="100"/>
      <c r="G467" s="100"/>
      <c r="H467" s="100"/>
    </row>
    <row r="468" spans="4:8" ht="12.75" customHeight="1">
      <c r="D468" s="99"/>
      <c r="E468" s="100"/>
      <c r="F468" s="100"/>
      <c r="G468" s="100"/>
      <c r="H468" s="100"/>
    </row>
    <row r="469" spans="4:8" ht="12.75" customHeight="1">
      <c r="D469" s="99"/>
      <c r="E469" s="100"/>
      <c r="F469" s="100"/>
      <c r="G469" s="100"/>
      <c r="H469" s="100"/>
    </row>
    <row r="470" spans="4:8" ht="12.75" customHeight="1">
      <c r="D470" s="99"/>
      <c r="E470" s="100"/>
      <c r="F470" s="100"/>
      <c r="G470" s="100"/>
      <c r="H470" s="100"/>
    </row>
    <row r="471" spans="4:8" ht="12.75" customHeight="1">
      <c r="D471" s="99"/>
      <c r="E471" s="100"/>
      <c r="F471" s="100"/>
      <c r="G471" s="100"/>
      <c r="H471" s="100"/>
    </row>
    <row r="472" spans="4:8" ht="12.75" customHeight="1">
      <c r="D472" s="99"/>
      <c r="E472" s="100"/>
      <c r="F472" s="100"/>
      <c r="G472" s="100"/>
      <c r="H472" s="100"/>
    </row>
    <row r="473" spans="4:8" ht="12.75" customHeight="1">
      <c r="D473" s="99"/>
      <c r="E473" s="100"/>
      <c r="F473" s="100"/>
      <c r="G473" s="100"/>
      <c r="H473" s="100"/>
    </row>
    <row r="474" spans="4:8" ht="12.75" customHeight="1">
      <c r="D474" s="99"/>
      <c r="E474" s="100"/>
      <c r="F474" s="100"/>
      <c r="G474" s="100"/>
      <c r="H474" s="100"/>
    </row>
    <row r="475" spans="4:8" ht="12.75" customHeight="1">
      <c r="D475" s="99"/>
      <c r="E475" s="100"/>
      <c r="F475" s="100"/>
      <c r="G475" s="100"/>
      <c r="H475" s="100"/>
    </row>
    <row r="476" spans="4:8" ht="12.75" customHeight="1">
      <c r="D476" s="99"/>
      <c r="E476" s="100"/>
      <c r="F476" s="100"/>
      <c r="G476" s="100"/>
      <c r="H476" s="100"/>
    </row>
    <row r="477" spans="4:8" ht="12.75" customHeight="1">
      <c r="D477" s="99"/>
      <c r="E477" s="100"/>
      <c r="F477" s="100"/>
      <c r="G477" s="100"/>
      <c r="H477" s="100"/>
    </row>
    <row r="478" spans="4:8" ht="12.75" customHeight="1">
      <c r="D478" s="99"/>
      <c r="E478" s="100"/>
      <c r="F478" s="100"/>
      <c r="G478" s="100"/>
      <c r="H478" s="100"/>
    </row>
    <row r="479" spans="4:8" ht="12.75" customHeight="1">
      <c r="D479" s="99"/>
      <c r="E479" s="100"/>
      <c r="F479" s="100"/>
      <c r="G479" s="100"/>
      <c r="H479" s="100"/>
    </row>
    <row r="480" spans="4:8" ht="12.75" customHeight="1">
      <c r="D480" s="99"/>
      <c r="E480" s="100"/>
      <c r="F480" s="100"/>
      <c r="G480" s="100"/>
      <c r="H480" s="100"/>
    </row>
    <row r="481" spans="4:8" ht="12.75" customHeight="1">
      <c r="D481" s="99"/>
      <c r="E481" s="100"/>
      <c r="F481" s="100"/>
      <c r="G481" s="100"/>
      <c r="H481" s="100"/>
    </row>
    <row r="482" spans="4:8" ht="12.75" customHeight="1">
      <c r="D482" s="99"/>
      <c r="E482" s="100"/>
      <c r="F482" s="100"/>
      <c r="G482" s="100"/>
      <c r="H482" s="100"/>
    </row>
    <row r="483" spans="4:8" ht="12.75" customHeight="1">
      <c r="D483" s="99"/>
      <c r="E483" s="100"/>
      <c r="F483" s="100"/>
      <c r="G483" s="100"/>
      <c r="H483" s="100"/>
    </row>
    <row r="484" spans="4:8" ht="12.75" customHeight="1">
      <c r="D484" s="99"/>
      <c r="E484" s="100"/>
      <c r="F484" s="100"/>
      <c r="G484" s="100"/>
      <c r="H484" s="100"/>
    </row>
    <row r="485" spans="4:8" ht="12.75" customHeight="1">
      <c r="D485" s="99"/>
      <c r="E485" s="100"/>
      <c r="F485" s="100"/>
      <c r="G485" s="100"/>
      <c r="H485" s="100"/>
    </row>
    <row r="486" spans="4:8" ht="12.75" customHeight="1">
      <c r="D486" s="99"/>
      <c r="E486" s="100"/>
      <c r="F486" s="100"/>
      <c r="G486" s="100"/>
      <c r="H486" s="100"/>
    </row>
    <row r="487" spans="4:8" ht="12.75" customHeight="1">
      <c r="D487" s="99"/>
      <c r="E487" s="100"/>
      <c r="F487" s="100"/>
      <c r="G487" s="100"/>
      <c r="H487" s="100"/>
    </row>
    <row r="488" spans="4:8" ht="12.75" customHeight="1">
      <c r="D488" s="99"/>
      <c r="E488" s="100"/>
      <c r="F488" s="100"/>
      <c r="G488" s="100"/>
      <c r="H488" s="100"/>
    </row>
    <row r="489" spans="4:8" ht="12.75" customHeight="1">
      <c r="D489" s="99"/>
      <c r="E489" s="100"/>
      <c r="F489" s="100"/>
      <c r="G489" s="100"/>
      <c r="H489" s="100"/>
    </row>
    <row r="490" spans="4:8" ht="12.75" customHeight="1">
      <c r="D490" s="99"/>
      <c r="E490" s="100"/>
      <c r="F490" s="100"/>
      <c r="G490" s="100"/>
      <c r="H490" s="100"/>
    </row>
    <row r="491" spans="4:8" ht="12.75" customHeight="1">
      <c r="D491" s="99"/>
      <c r="E491" s="100"/>
      <c r="F491" s="100"/>
      <c r="G491" s="100"/>
      <c r="H491" s="100"/>
    </row>
    <row r="492" spans="4:8" ht="12.75" customHeight="1">
      <c r="D492" s="99"/>
      <c r="E492" s="100"/>
      <c r="F492" s="100"/>
      <c r="G492" s="100"/>
      <c r="H492" s="100"/>
    </row>
    <row r="493" spans="4:8" ht="12.75" customHeight="1">
      <c r="D493" s="99"/>
      <c r="E493" s="100"/>
      <c r="F493" s="100"/>
      <c r="G493" s="100"/>
      <c r="H493" s="100"/>
    </row>
    <row r="494" spans="4:8" ht="12.75" customHeight="1">
      <c r="D494" s="99"/>
      <c r="E494" s="100"/>
      <c r="F494" s="100"/>
      <c r="G494" s="100"/>
      <c r="H494" s="100"/>
    </row>
    <row r="495" spans="4:8" ht="12.75" customHeight="1">
      <c r="D495" s="99"/>
      <c r="E495" s="100"/>
      <c r="F495" s="100"/>
      <c r="G495" s="100"/>
      <c r="H495" s="100"/>
    </row>
    <row r="496" spans="4:8" ht="12.75" customHeight="1">
      <c r="D496" s="99"/>
      <c r="E496" s="100"/>
      <c r="F496" s="100"/>
      <c r="G496" s="100"/>
      <c r="H496" s="100"/>
    </row>
    <row r="497" spans="4:8" ht="12.75" customHeight="1">
      <c r="D497" s="99"/>
      <c r="E497" s="100"/>
      <c r="F497" s="100"/>
      <c r="G497" s="100"/>
      <c r="H497" s="100"/>
    </row>
    <row r="498" spans="4:8" ht="12.75" customHeight="1">
      <c r="D498" s="99"/>
      <c r="E498" s="100"/>
      <c r="F498" s="100"/>
      <c r="G498" s="100"/>
      <c r="H498" s="100"/>
    </row>
    <row r="499" spans="4:8" ht="12.75" customHeight="1">
      <c r="D499" s="99"/>
      <c r="E499" s="100"/>
      <c r="F499" s="100"/>
      <c r="G499" s="100"/>
      <c r="H499" s="100"/>
    </row>
    <row r="500" spans="4:8" ht="12.75" customHeight="1">
      <c r="D500" s="99"/>
      <c r="E500" s="100"/>
      <c r="F500" s="100"/>
      <c r="G500" s="100"/>
      <c r="H500" s="100"/>
    </row>
    <row r="501" spans="4:8" ht="12.75" customHeight="1">
      <c r="D501" s="99"/>
      <c r="E501" s="100"/>
      <c r="F501" s="100"/>
      <c r="G501" s="100"/>
      <c r="H501" s="100"/>
    </row>
    <row r="502" spans="4:8" ht="12.75" customHeight="1">
      <c r="D502" s="99"/>
      <c r="E502" s="100"/>
      <c r="F502" s="100"/>
      <c r="G502" s="100"/>
      <c r="H502" s="100"/>
    </row>
    <row r="503" spans="4:8" ht="12.75" customHeight="1">
      <c r="D503" s="99"/>
      <c r="E503" s="100"/>
      <c r="F503" s="100"/>
      <c r="G503" s="100"/>
      <c r="H503" s="100"/>
    </row>
    <row r="504" spans="4:8" ht="12.75" customHeight="1">
      <c r="D504" s="99"/>
      <c r="E504" s="100"/>
      <c r="F504" s="100"/>
      <c r="G504" s="100"/>
      <c r="H504" s="100"/>
    </row>
    <row r="505" spans="4:8" ht="12.75" customHeight="1">
      <c r="D505" s="99"/>
      <c r="E505" s="100"/>
      <c r="F505" s="100"/>
      <c r="G505" s="100"/>
      <c r="H505" s="100"/>
    </row>
    <row r="506" spans="4:8" ht="12.75" customHeight="1">
      <c r="D506" s="99"/>
      <c r="E506" s="100"/>
      <c r="F506" s="100"/>
      <c r="G506" s="100"/>
      <c r="H506" s="100"/>
    </row>
    <row r="507" spans="4:8" ht="12.75" customHeight="1">
      <c r="D507" s="99"/>
      <c r="E507" s="100"/>
      <c r="F507" s="100"/>
      <c r="G507" s="100"/>
      <c r="H507" s="100"/>
    </row>
    <row r="508" spans="4:8" ht="12.75" customHeight="1">
      <c r="D508" s="99"/>
      <c r="E508" s="100"/>
      <c r="F508" s="100"/>
      <c r="G508" s="100"/>
      <c r="H508" s="100"/>
    </row>
    <row r="509" spans="4:8" ht="12.75" customHeight="1">
      <c r="D509" s="99"/>
      <c r="E509" s="100"/>
      <c r="F509" s="100"/>
      <c r="G509" s="100"/>
      <c r="H509" s="100"/>
    </row>
    <row r="510" spans="4:8" ht="12.75" customHeight="1">
      <c r="D510" s="99"/>
      <c r="E510" s="100"/>
      <c r="F510" s="100"/>
      <c r="G510" s="100"/>
      <c r="H510" s="100"/>
    </row>
    <row r="511" spans="4:8" ht="12.75" customHeight="1">
      <c r="D511" s="99"/>
      <c r="E511" s="100"/>
      <c r="F511" s="100"/>
      <c r="G511" s="100"/>
      <c r="H511" s="100"/>
    </row>
    <row r="512" spans="4:8" ht="12.75" customHeight="1">
      <c r="D512" s="99"/>
      <c r="E512" s="100"/>
      <c r="F512" s="100"/>
      <c r="G512" s="100"/>
      <c r="H512" s="100"/>
    </row>
    <row r="513" spans="4:8" ht="12.75" customHeight="1">
      <c r="D513" s="99"/>
      <c r="E513" s="100"/>
      <c r="F513" s="100"/>
      <c r="G513" s="100"/>
      <c r="H513" s="100"/>
    </row>
    <row r="514" spans="4:8" ht="12.75" customHeight="1">
      <c r="D514" s="99"/>
      <c r="E514" s="100"/>
      <c r="F514" s="100"/>
      <c r="G514" s="100"/>
      <c r="H514" s="100"/>
    </row>
    <row r="515" spans="4:8" ht="12.75" customHeight="1">
      <c r="D515" s="99"/>
      <c r="E515" s="100"/>
      <c r="F515" s="100"/>
      <c r="G515" s="100"/>
      <c r="H515" s="100"/>
    </row>
    <row r="516" spans="4:8" ht="12.75" customHeight="1">
      <c r="D516" s="99"/>
      <c r="E516" s="100"/>
      <c r="F516" s="100"/>
      <c r="G516" s="100"/>
      <c r="H516" s="100"/>
    </row>
    <row r="517" spans="4:8" ht="12.75" customHeight="1">
      <c r="D517" s="99"/>
      <c r="E517" s="100"/>
      <c r="F517" s="100"/>
      <c r="G517" s="100"/>
      <c r="H517" s="100"/>
    </row>
    <row r="518" spans="4:8" ht="12.75" customHeight="1">
      <c r="D518" s="99"/>
      <c r="E518" s="100"/>
      <c r="F518" s="100"/>
      <c r="G518" s="100"/>
      <c r="H518" s="100"/>
    </row>
    <row r="519" spans="4:8" ht="12.75" customHeight="1">
      <c r="D519" s="99"/>
      <c r="E519" s="100"/>
      <c r="F519" s="100"/>
      <c r="G519" s="100"/>
      <c r="H519" s="100"/>
    </row>
    <row r="520" spans="4:8" ht="12.75" customHeight="1">
      <c r="D520" s="99"/>
      <c r="E520" s="100"/>
      <c r="F520" s="100"/>
      <c r="G520" s="100"/>
      <c r="H520" s="100"/>
    </row>
    <row r="521" spans="4:8" ht="12.75" customHeight="1">
      <c r="D521" s="99"/>
      <c r="E521" s="100"/>
      <c r="F521" s="100"/>
      <c r="G521" s="100"/>
      <c r="H521" s="100"/>
    </row>
    <row r="522" spans="4:8" ht="12.75" customHeight="1">
      <c r="D522" s="99"/>
      <c r="E522" s="100"/>
      <c r="F522" s="100"/>
      <c r="G522" s="100"/>
      <c r="H522" s="100"/>
    </row>
    <row r="523" spans="4:8" ht="12.75" customHeight="1">
      <c r="D523" s="99"/>
      <c r="E523" s="100"/>
      <c r="F523" s="100"/>
      <c r="G523" s="100"/>
      <c r="H523" s="100"/>
    </row>
    <row r="524" spans="4:8" ht="12.75" customHeight="1">
      <c r="D524" s="99"/>
      <c r="E524" s="100"/>
      <c r="F524" s="100"/>
      <c r="G524" s="100"/>
      <c r="H524" s="100"/>
    </row>
    <row r="525" spans="4:8" ht="12.75" customHeight="1">
      <c r="D525" s="99"/>
      <c r="E525" s="100"/>
      <c r="F525" s="100"/>
      <c r="G525" s="100"/>
      <c r="H525" s="100"/>
    </row>
    <row r="526" spans="4:8" ht="12.75" customHeight="1">
      <c r="D526" s="99"/>
      <c r="E526" s="100"/>
      <c r="F526" s="100"/>
      <c r="G526" s="100"/>
      <c r="H526" s="100"/>
    </row>
    <row r="527" spans="4:8" ht="12.75" customHeight="1">
      <c r="D527" s="99"/>
      <c r="E527" s="100"/>
      <c r="F527" s="100"/>
      <c r="G527" s="100"/>
      <c r="H527" s="100"/>
    </row>
    <row r="528" spans="4:8" ht="12.75" customHeight="1">
      <c r="D528" s="99"/>
      <c r="E528" s="100"/>
      <c r="F528" s="100"/>
      <c r="G528" s="100"/>
      <c r="H528" s="100"/>
    </row>
    <row r="529" spans="4:8" ht="12.75" customHeight="1">
      <c r="D529" s="99"/>
      <c r="E529" s="100"/>
      <c r="F529" s="100"/>
      <c r="G529" s="100"/>
      <c r="H529" s="100"/>
    </row>
    <row r="530" spans="4:8" ht="12.75" customHeight="1">
      <c r="D530" s="99"/>
      <c r="E530" s="100"/>
      <c r="F530" s="100"/>
      <c r="G530" s="100"/>
      <c r="H530" s="100"/>
    </row>
    <row r="531" spans="4:8" ht="12.75" customHeight="1">
      <c r="D531" s="99"/>
      <c r="E531" s="100"/>
      <c r="F531" s="100"/>
      <c r="G531" s="100"/>
      <c r="H531" s="100"/>
    </row>
    <row r="532" spans="4:8" ht="12.75" customHeight="1">
      <c r="D532" s="99"/>
      <c r="E532" s="100"/>
      <c r="F532" s="100"/>
      <c r="G532" s="100"/>
      <c r="H532" s="100"/>
    </row>
    <row r="533" spans="4:8" ht="12.75" customHeight="1">
      <c r="D533" s="99"/>
      <c r="E533" s="100"/>
      <c r="F533" s="100"/>
      <c r="G533" s="100"/>
      <c r="H533" s="100"/>
    </row>
    <row r="534" spans="4:8" ht="12.75" customHeight="1">
      <c r="D534" s="99"/>
      <c r="E534" s="100"/>
      <c r="F534" s="100"/>
      <c r="G534" s="100"/>
      <c r="H534" s="100"/>
    </row>
    <row r="535" spans="4:8" ht="12.75" customHeight="1">
      <c r="D535" s="99"/>
      <c r="E535" s="100"/>
      <c r="F535" s="100"/>
      <c r="G535" s="100"/>
      <c r="H535" s="100"/>
    </row>
    <row r="536" spans="4:8" ht="12.75" customHeight="1">
      <c r="D536" s="99"/>
      <c r="E536" s="100"/>
      <c r="F536" s="100"/>
      <c r="G536" s="100"/>
      <c r="H536" s="100"/>
    </row>
    <row r="537" spans="4:8" ht="12.75" customHeight="1">
      <c r="D537" s="99"/>
      <c r="E537" s="100"/>
      <c r="F537" s="100"/>
      <c r="G537" s="100"/>
      <c r="H537" s="100"/>
    </row>
    <row r="538" spans="4:8" ht="12.75" customHeight="1">
      <c r="D538" s="99"/>
      <c r="E538" s="100"/>
      <c r="F538" s="100"/>
      <c r="G538" s="100"/>
      <c r="H538" s="100"/>
    </row>
    <row r="539" spans="4:8" ht="12.75" customHeight="1">
      <c r="D539" s="99"/>
      <c r="E539" s="100"/>
      <c r="F539" s="100"/>
      <c r="G539" s="100"/>
      <c r="H539" s="100"/>
    </row>
    <row r="540" spans="4:8" ht="12.75" customHeight="1">
      <c r="D540" s="99"/>
      <c r="E540" s="100"/>
      <c r="F540" s="100"/>
      <c r="G540" s="100"/>
      <c r="H540" s="100"/>
    </row>
    <row r="541" spans="4:8" ht="12.75" customHeight="1">
      <c r="D541" s="99"/>
      <c r="E541" s="100"/>
      <c r="F541" s="100"/>
      <c r="G541" s="100"/>
      <c r="H541" s="100"/>
    </row>
    <row r="542" spans="4:8" ht="12.75" customHeight="1">
      <c r="D542" s="99"/>
      <c r="E542" s="100"/>
      <c r="F542" s="100"/>
      <c r="G542" s="100"/>
      <c r="H542" s="100"/>
    </row>
    <row r="543" spans="4:8" ht="12.75" customHeight="1">
      <c r="D543" s="99"/>
      <c r="E543" s="100"/>
      <c r="F543" s="100"/>
      <c r="G543" s="100"/>
      <c r="H543" s="100"/>
    </row>
    <row r="544" spans="4:8" ht="12.75" customHeight="1">
      <c r="D544" s="99"/>
      <c r="E544" s="100"/>
      <c r="F544" s="100"/>
      <c r="G544" s="100"/>
      <c r="H544" s="100"/>
    </row>
    <row r="545" spans="4:8" ht="12.75" customHeight="1">
      <c r="D545" s="99"/>
      <c r="E545" s="100"/>
      <c r="F545" s="100"/>
      <c r="G545" s="100"/>
      <c r="H545" s="100"/>
    </row>
    <row r="546" spans="4:8" ht="12.75" customHeight="1">
      <c r="D546" s="99"/>
      <c r="E546" s="100"/>
      <c r="F546" s="100"/>
      <c r="G546" s="100"/>
      <c r="H546" s="100"/>
    </row>
    <row r="547" spans="4:8" ht="12.75" customHeight="1">
      <c r="D547" s="99"/>
      <c r="E547" s="100"/>
      <c r="F547" s="100"/>
      <c r="G547" s="100"/>
      <c r="H547" s="100"/>
    </row>
    <row r="548" spans="4:8" ht="12.75" customHeight="1">
      <c r="D548" s="99"/>
      <c r="E548" s="100"/>
      <c r="F548" s="100"/>
      <c r="G548" s="100"/>
      <c r="H548" s="100"/>
    </row>
    <row r="549" spans="4:8" ht="12.75" customHeight="1">
      <c r="D549" s="99"/>
      <c r="E549" s="100"/>
      <c r="F549" s="100"/>
      <c r="G549" s="100"/>
      <c r="H549" s="100"/>
    </row>
    <row r="550" spans="4:8" ht="12.75" customHeight="1">
      <c r="D550" s="99"/>
      <c r="E550" s="100"/>
      <c r="F550" s="100"/>
      <c r="G550" s="100"/>
      <c r="H550" s="100"/>
    </row>
    <row r="551" spans="4:8" ht="12.75" customHeight="1">
      <c r="D551" s="99"/>
      <c r="E551" s="100"/>
      <c r="F551" s="100"/>
      <c r="G551" s="100"/>
      <c r="H551" s="100"/>
    </row>
    <row r="552" spans="4:8" ht="12.75" customHeight="1">
      <c r="D552" s="99"/>
      <c r="E552" s="100"/>
      <c r="F552" s="100"/>
      <c r="G552" s="100"/>
      <c r="H552" s="100"/>
    </row>
    <row r="553" spans="4:8" ht="12.75" customHeight="1">
      <c r="D553" s="99"/>
      <c r="E553" s="100"/>
      <c r="F553" s="100"/>
      <c r="G553" s="100"/>
      <c r="H553" s="100"/>
    </row>
    <row r="554" spans="4:8" ht="12.75" customHeight="1">
      <c r="D554" s="99"/>
      <c r="E554" s="100"/>
      <c r="F554" s="100"/>
      <c r="G554" s="100"/>
      <c r="H554" s="100"/>
    </row>
    <row r="555" spans="4:8" ht="12.75" customHeight="1">
      <c r="D555" s="99"/>
      <c r="E555" s="100"/>
      <c r="F555" s="100"/>
      <c r="G555" s="100"/>
      <c r="H555" s="100"/>
    </row>
    <row r="556" spans="4:8" ht="12.75" customHeight="1">
      <c r="D556" s="99"/>
      <c r="E556" s="100"/>
      <c r="F556" s="100"/>
      <c r="G556" s="100"/>
      <c r="H556" s="100"/>
    </row>
    <row r="557" spans="4:8" ht="12.75" customHeight="1">
      <c r="D557" s="99"/>
      <c r="E557" s="100"/>
      <c r="F557" s="100"/>
      <c r="G557" s="100"/>
      <c r="H557" s="100"/>
    </row>
    <row r="558" spans="4:8" ht="12.75" customHeight="1">
      <c r="D558" s="99"/>
      <c r="E558" s="100"/>
      <c r="F558" s="100"/>
      <c r="G558" s="100"/>
      <c r="H558" s="100"/>
    </row>
    <row r="559" spans="4:8" ht="12.75" customHeight="1">
      <c r="D559" s="99"/>
      <c r="E559" s="100"/>
      <c r="F559" s="100"/>
      <c r="G559" s="100"/>
      <c r="H559" s="100"/>
    </row>
    <row r="560" spans="4:8" ht="12.75" customHeight="1">
      <c r="D560" s="99"/>
      <c r="E560" s="100"/>
      <c r="F560" s="100"/>
      <c r="G560" s="100"/>
      <c r="H560" s="100"/>
    </row>
    <row r="561" spans="4:8" ht="12.75" customHeight="1">
      <c r="D561" s="99"/>
      <c r="E561" s="100"/>
      <c r="F561" s="100"/>
      <c r="G561" s="100"/>
      <c r="H561" s="100"/>
    </row>
    <row r="562" spans="4:8" ht="12.75" customHeight="1">
      <c r="D562" s="99"/>
      <c r="E562" s="100"/>
      <c r="F562" s="100"/>
      <c r="G562" s="100"/>
      <c r="H562" s="100"/>
    </row>
    <row r="563" spans="4:8" ht="12.75" customHeight="1">
      <c r="D563" s="99"/>
      <c r="E563" s="100"/>
      <c r="F563" s="100"/>
      <c r="G563" s="100"/>
      <c r="H563" s="100"/>
    </row>
    <row r="564" spans="4:8" ht="12.75" customHeight="1">
      <c r="D564" s="99"/>
      <c r="E564" s="100"/>
      <c r="F564" s="100"/>
      <c r="G564" s="100"/>
      <c r="H564" s="100"/>
    </row>
    <row r="565" spans="4:8" ht="12.75" customHeight="1">
      <c r="D565" s="99"/>
      <c r="E565" s="100"/>
      <c r="F565" s="100"/>
      <c r="G565" s="100"/>
      <c r="H565" s="100"/>
    </row>
    <row r="566" spans="4:8" ht="12.75" customHeight="1">
      <c r="D566" s="99"/>
      <c r="E566" s="100"/>
      <c r="F566" s="100"/>
      <c r="G566" s="100"/>
      <c r="H566" s="100"/>
    </row>
    <row r="567" spans="4:8" ht="12.75" customHeight="1">
      <c r="D567" s="99"/>
      <c r="E567" s="100"/>
      <c r="F567" s="100"/>
      <c r="G567" s="100"/>
      <c r="H567" s="100"/>
    </row>
    <row r="568" spans="4:8" ht="12.75" customHeight="1">
      <c r="D568" s="99"/>
      <c r="E568" s="100"/>
      <c r="F568" s="100"/>
      <c r="G568" s="100"/>
      <c r="H568" s="100"/>
    </row>
    <row r="569" spans="4:8" ht="12.75" customHeight="1">
      <c r="D569" s="99"/>
      <c r="E569" s="100"/>
      <c r="F569" s="100"/>
      <c r="G569" s="100"/>
      <c r="H569" s="100"/>
    </row>
    <row r="570" spans="4:8" ht="12.75" customHeight="1">
      <c r="D570" s="99"/>
      <c r="E570" s="100"/>
      <c r="F570" s="100"/>
      <c r="G570" s="100"/>
      <c r="H570" s="100"/>
    </row>
    <row r="571" spans="4:8" ht="12.75" customHeight="1">
      <c r="D571" s="99"/>
      <c r="E571" s="100"/>
      <c r="F571" s="100"/>
      <c r="G571" s="100"/>
      <c r="H571" s="100"/>
    </row>
    <row r="572" spans="4:8" ht="12.75" customHeight="1">
      <c r="D572" s="99"/>
      <c r="E572" s="100"/>
      <c r="F572" s="100"/>
      <c r="G572" s="100"/>
      <c r="H572" s="100"/>
    </row>
    <row r="573" spans="4:8" ht="12.75" customHeight="1">
      <c r="D573" s="99"/>
      <c r="E573" s="100"/>
      <c r="F573" s="100"/>
      <c r="G573" s="100"/>
      <c r="H573" s="100"/>
    </row>
    <row r="574" spans="4:8" ht="12.75" customHeight="1">
      <c r="D574" s="99"/>
      <c r="E574" s="100"/>
      <c r="F574" s="100"/>
      <c r="G574" s="100"/>
      <c r="H574" s="100"/>
    </row>
    <row r="575" spans="4:8" ht="12.75" customHeight="1">
      <c r="D575" s="99"/>
      <c r="E575" s="100"/>
      <c r="F575" s="100"/>
      <c r="G575" s="100"/>
      <c r="H575" s="100"/>
    </row>
    <row r="576" spans="4:8" ht="12.75" customHeight="1">
      <c r="D576" s="99"/>
      <c r="E576" s="100"/>
      <c r="F576" s="100"/>
      <c r="G576" s="100"/>
      <c r="H576" s="100"/>
    </row>
    <row r="577" spans="4:8" ht="12.75" customHeight="1">
      <c r="D577" s="99"/>
      <c r="E577" s="100"/>
      <c r="F577" s="100"/>
      <c r="G577" s="100"/>
      <c r="H577" s="100"/>
    </row>
    <row r="578" spans="4:8" ht="12.75" customHeight="1">
      <c r="D578" s="99"/>
      <c r="E578" s="100"/>
      <c r="F578" s="100"/>
      <c r="G578" s="100"/>
      <c r="H578" s="100"/>
    </row>
    <row r="579" spans="4:8" ht="12.75" customHeight="1">
      <c r="D579" s="99"/>
      <c r="E579" s="100"/>
      <c r="F579" s="100"/>
      <c r="G579" s="100"/>
      <c r="H579" s="100"/>
    </row>
    <row r="580" spans="4:8" ht="12.75" customHeight="1">
      <c r="D580" s="99"/>
      <c r="E580" s="100"/>
      <c r="F580" s="100"/>
      <c r="G580" s="100"/>
      <c r="H580" s="100"/>
    </row>
    <row r="581" spans="4:8" ht="12.75" customHeight="1">
      <c r="D581" s="99"/>
      <c r="E581" s="100"/>
      <c r="F581" s="100"/>
      <c r="G581" s="100"/>
      <c r="H581" s="100"/>
    </row>
    <row r="582" spans="4:8" ht="12.75" customHeight="1">
      <c r="D582" s="99"/>
      <c r="E582" s="100"/>
      <c r="F582" s="100"/>
      <c r="G582" s="100"/>
      <c r="H582" s="100"/>
    </row>
    <row r="583" spans="4:8" ht="12.75" customHeight="1">
      <c r="D583" s="99"/>
      <c r="E583" s="100"/>
      <c r="F583" s="100"/>
      <c r="G583" s="100"/>
      <c r="H583" s="100"/>
    </row>
    <row r="584" spans="4:8" ht="12.75" customHeight="1">
      <c r="D584" s="99"/>
      <c r="E584" s="100"/>
      <c r="F584" s="100"/>
      <c r="G584" s="100"/>
      <c r="H584" s="100"/>
    </row>
    <row r="585" spans="4:8" ht="12.75" customHeight="1">
      <c r="D585" s="99"/>
      <c r="E585" s="100"/>
      <c r="F585" s="100"/>
      <c r="G585" s="100"/>
      <c r="H585" s="100"/>
    </row>
    <row r="586" spans="4:8" ht="12.75" customHeight="1">
      <c r="D586" s="99"/>
      <c r="E586" s="100"/>
      <c r="F586" s="100"/>
      <c r="G586" s="100"/>
      <c r="H586" s="100"/>
    </row>
    <row r="587" spans="4:8" ht="12.75" customHeight="1">
      <c r="D587" s="99"/>
      <c r="E587" s="100"/>
      <c r="F587" s="100"/>
      <c r="G587" s="100"/>
      <c r="H587" s="100"/>
    </row>
    <row r="588" spans="4:8" ht="12.75" customHeight="1">
      <c r="D588" s="99"/>
      <c r="E588" s="100"/>
      <c r="F588" s="100"/>
      <c r="G588" s="100"/>
      <c r="H588" s="100"/>
    </row>
    <row r="589" spans="4:8" ht="12.75" customHeight="1">
      <c r="D589" s="99"/>
      <c r="E589" s="100"/>
      <c r="F589" s="100"/>
      <c r="G589" s="100"/>
      <c r="H589" s="100"/>
    </row>
    <row r="590" spans="4:8" ht="12.75" customHeight="1">
      <c r="D590" s="99"/>
      <c r="E590" s="100"/>
      <c r="F590" s="100"/>
      <c r="G590" s="100"/>
      <c r="H590" s="100"/>
    </row>
    <row r="591" spans="4:8" ht="12.75" customHeight="1">
      <c r="D591" s="99"/>
      <c r="E591" s="100"/>
      <c r="F591" s="100"/>
      <c r="G591" s="100"/>
      <c r="H591" s="100"/>
    </row>
    <row r="592" spans="4:8" ht="12.75" customHeight="1">
      <c r="D592" s="99"/>
      <c r="E592" s="100"/>
      <c r="F592" s="100"/>
      <c r="G592" s="100"/>
      <c r="H592" s="100"/>
    </row>
    <row r="593" spans="4:8" ht="12.75" customHeight="1">
      <c r="D593" s="99"/>
      <c r="E593" s="100"/>
      <c r="F593" s="100"/>
      <c r="G593" s="100"/>
      <c r="H593" s="100"/>
    </row>
    <row r="594" spans="4:8" ht="12.75" customHeight="1">
      <c r="D594" s="99"/>
      <c r="E594" s="100"/>
      <c r="F594" s="100"/>
      <c r="G594" s="100"/>
      <c r="H594" s="100"/>
    </row>
    <row r="595" spans="4:8" ht="12.75" customHeight="1">
      <c r="D595" s="99"/>
      <c r="E595" s="100"/>
      <c r="F595" s="100"/>
      <c r="G595" s="100"/>
      <c r="H595" s="100"/>
    </row>
    <row r="596" spans="4:8" ht="12.75" customHeight="1">
      <c r="D596" s="99"/>
      <c r="E596" s="100"/>
      <c r="F596" s="100"/>
      <c r="G596" s="100"/>
      <c r="H596" s="100"/>
    </row>
    <row r="597" spans="4:8" ht="12.75" customHeight="1">
      <c r="D597" s="99"/>
      <c r="E597" s="100"/>
      <c r="F597" s="100"/>
      <c r="G597" s="100"/>
      <c r="H597" s="100"/>
    </row>
    <row r="598" spans="4:8" ht="12.75" customHeight="1">
      <c r="D598" s="99"/>
      <c r="E598" s="100"/>
      <c r="F598" s="100"/>
      <c r="G598" s="100"/>
      <c r="H598" s="100"/>
    </row>
    <row r="599" spans="4:8" ht="12.75" customHeight="1">
      <c r="D599" s="99"/>
      <c r="E599" s="100"/>
      <c r="F599" s="100"/>
      <c r="G599" s="100"/>
      <c r="H599" s="100"/>
    </row>
    <row r="600" spans="4:8" ht="12.75" customHeight="1">
      <c r="D600" s="99"/>
      <c r="E600" s="100"/>
      <c r="F600" s="100"/>
      <c r="G600" s="100"/>
      <c r="H600" s="100"/>
    </row>
    <row r="601" spans="4:8" ht="12.75" customHeight="1">
      <c r="D601" s="99"/>
      <c r="E601" s="100"/>
      <c r="F601" s="100"/>
      <c r="G601" s="100"/>
      <c r="H601" s="100"/>
    </row>
    <row r="602" spans="4:8" ht="12.75" customHeight="1">
      <c r="D602" s="99"/>
      <c r="E602" s="100"/>
      <c r="F602" s="100"/>
      <c r="G602" s="100"/>
      <c r="H602" s="100"/>
    </row>
    <row r="603" spans="4:8" ht="12.75" customHeight="1">
      <c r="D603" s="99"/>
      <c r="E603" s="100"/>
      <c r="F603" s="100"/>
      <c r="G603" s="100"/>
      <c r="H603" s="100"/>
    </row>
    <row r="604" spans="4:8" ht="12.75" customHeight="1">
      <c r="D604" s="99"/>
      <c r="E604" s="100"/>
      <c r="F604" s="100"/>
      <c r="G604" s="100"/>
      <c r="H604" s="100"/>
    </row>
    <row r="605" spans="4:8" ht="12.75" customHeight="1">
      <c r="D605" s="99"/>
      <c r="E605" s="100"/>
      <c r="F605" s="100"/>
      <c r="G605" s="100"/>
      <c r="H605" s="100"/>
    </row>
    <row r="606" spans="4:8" ht="12.75" customHeight="1">
      <c r="D606" s="99"/>
      <c r="E606" s="100"/>
      <c r="F606" s="100"/>
      <c r="G606" s="100"/>
      <c r="H606" s="100"/>
    </row>
    <row r="607" spans="4:8" ht="12.75" customHeight="1">
      <c r="D607" s="99"/>
      <c r="E607" s="100"/>
      <c r="F607" s="100"/>
      <c r="G607" s="100"/>
      <c r="H607" s="100"/>
    </row>
    <row r="608" spans="4:8" ht="12.75" customHeight="1">
      <c r="D608" s="99"/>
      <c r="E608" s="100"/>
      <c r="F608" s="100"/>
      <c r="G608" s="100"/>
      <c r="H608" s="100"/>
    </row>
    <row r="609" spans="4:8" ht="12.75" customHeight="1">
      <c r="D609" s="99"/>
      <c r="E609" s="100"/>
      <c r="F609" s="100"/>
      <c r="G609" s="100"/>
      <c r="H609" s="100"/>
    </row>
    <row r="610" spans="4:8" ht="12.75" customHeight="1">
      <c r="D610" s="99"/>
      <c r="E610" s="100"/>
      <c r="F610" s="100"/>
      <c r="G610" s="100"/>
      <c r="H610" s="100"/>
    </row>
    <row r="611" spans="4:8" ht="12.75" customHeight="1">
      <c r="D611" s="99"/>
      <c r="E611" s="100"/>
      <c r="F611" s="100"/>
      <c r="G611" s="100"/>
      <c r="H611" s="100"/>
    </row>
    <row r="612" spans="4:8" ht="12.75" customHeight="1">
      <c r="D612" s="99"/>
      <c r="E612" s="100"/>
      <c r="F612" s="100"/>
      <c r="G612" s="100"/>
      <c r="H612" s="100"/>
    </row>
    <row r="613" spans="4:8" ht="12.75" customHeight="1">
      <c r="D613" s="99"/>
      <c r="E613" s="100"/>
      <c r="F613" s="100"/>
      <c r="G613" s="100"/>
      <c r="H613" s="100"/>
    </row>
    <row r="614" spans="4:8" ht="12.75" customHeight="1">
      <c r="D614" s="99"/>
      <c r="E614" s="100"/>
      <c r="F614" s="100"/>
      <c r="G614" s="100"/>
      <c r="H614" s="100"/>
    </row>
    <row r="615" spans="4:8" ht="12.75" customHeight="1">
      <c r="D615" s="99"/>
      <c r="E615" s="100"/>
      <c r="F615" s="100"/>
      <c r="G615" s="100"/>
      <c r="H615" s="100"/>
    </row>
    <row r="616" spans="4:8" ht="12.75" customHeight="1">
      <c r="D616" s="99"/>
      <c r="E616" s="100"/>
      <c r="F616" s="100"/>
      <c r="G616" s="100"/>
      <c r="H616" s="100"/>
    </row>
    <row r="617" spans="4:8" ht="12.75" customHeight="1">
      <c r="D617" s="99"/>
      <c r="E617" s="100"/>
      <c r="F617" s="100"/>
      <c r="G617" s="100"/>
      <c r="H617" s="100"/>
    </row>
    <row r="618" spans="4:8" ht="12.75" customHeight="1">
      <c r="D618" s="99"/>
      <c r="E618" s="100"/>
      <c r="F618" s="100"/>
      <c r="G618" s="100"/>
      <c r="H618" s="100"/>
    </row>
    <row r="619" spans="4:8" ht="12.75" customHeight="1">
      <c r="D619" s="99"/>
      <c r="E619" s="100"/>
      <c r="F619" s="100"/>
      <c r="G619" s="100"/>
      <c r="H619" s="100"/>
    </row>
    <row r="620" spans="4:8" ht="12.75" customHeight="1">
      <c r="D620" s="99"/>
      <c r="E620" s="100"/>
      <c r="F620" s="100"/>
      <c r="G620" s="100"/>
      <c r="H620" s="100"/>
    </row>
    <row r="621" spans="4:8" ht="12.75" customHeight="1">
      <c r="D621" s="99"/>
      <c r="E621" s="100"/>
      <c r="F621" s="100"/>
      <c r="G621" s="100"/>
      <c r="H621" s="100"/>
    </row>
    <row r="622" spans="4:8" ht="12.75" customHeight="1">
      <c r="D622" s="99"/>
      <c r="E622" s="100"/>
      <c r="F622" s="100"/>
      <c r="G622" s="100"/>
      <c r="H622" s="100"/>
    </row>
    <row r="623" spans="4:8" ht="12.75" customHeight="1">
      <c r="D623" s="99"/>
      <c r="E623" s="100"/>
      <c r="F623" s="100"/>
      <c r="G623" s="100"/>
      <c r="H623" s="100"/>
    </row>
    <row r="624" spans="4:8" ht="12.75" customHeight="1">
      <c r="D624" s="99"/>
      <c r="E624" s="100"/>
      <c r="F624" s="100"/>
      <c r="G624" s="100"/>
      <c r="H624" s="100"/>
    </row>
    <row r="625" spans="4:8" ht="12.75" customHeight="1">
      <c r="D625" s="99"/>
      <c r="E625" s="100"/>
      <c r="F625" s="100"/>
      <c r="G625" s="100"/>
      <c r="H625" s="100"/>
    </row>
    <row r="626" spans="4:8" ht="12.75" customHeight="1">
      <c r="D626" s="99"/>
      <c r="E626" s="100"/>
      <c r="F626" s="100"/>
      <c r="G626" s="100"/>
      <c r="H626" s="100"/>
    </row>
    <row r="627" spans="4:8" ht="12.75" customHeight="1">
      <c r="D627" s="99"/>
      <c r="E627" s="100"/>
      <c r="F627" s="100"/>
      <c r="G627" s="100"/>
      <c r="H627" s="100"/>
    </row>
    <row r="628" spans="4:8" ht="12.75" customHeight="1">
      <c r="D628" s="99"/>
      <c r="E628" s="100"/>
      <c r="F628" s="100"/>
      <c r="G628" s="100"/>
      <c r="H628" s="100"/>
    </row>
    <row r="629" spans="4:8" ht="12.75" customHeight="1">
      <c r="D629" s="99"/>
      <c r="E629" s="100"/>
      <c r="F629" s="100"/>
      <c r="G629" s="100"/>
      <c r="H629" s="100"/>
    </row>
    <row r="630" spans="4:8" ht="12.75" customHeight="1">
      <c r="D630" s="99"/>
      <c r="E630" s="100"/>
      <c r="F630" s="100"/>
      <c r="G630" s="100"/>
      <c r="H630" s="100"/>
    </row>
    <row r="631" spans="4:8" ht="12.75" customHeight="1">
      <c r="D631" s="99"/>
      <c r="E631" s="100"/>
      <c r="F631" s="100"/>
      <c r="G631" s="100"/>
      <c r="H631" s="100"/>
    </row>
    <row r="632" spans="4:8" ht="12.75" customHeight="1">
      <c r="D632" s="99"/>
      <c r="E632" s="100"/>
      <c r="F632" s="100"/>
      <c r="G632" s="100"/>
      <c r="H632" s="100"/>
    </row>
    <row r="633" spans="4:8" ht="12.75" customHeight="1">
      <c r="D633" s="99"/>
      <c r="E633" s="100"/>
      <c r="F633" s="100"/>
      <c r="G633" s="100"/>
      <c r="H633" s="100"/>
    </row>
    <row r="634" spans="4:8" ht="12.75" customHeight="1">
      <c r="D634" s="99"/>
      <c r="E634" s="100"/>
      <c r="F634" s="100"/>
      <c r="G634" s="100"/>
      <c r="H634" s="100"/>
    </row>
    <row r="635" spans="4:8" ht="12.75" customHeight="1">
      <c r="D635" s="99"/>
      <c r="E635" s="100"/>
      <c r="F635" s="100"/>
      <c r="G635" s="100"/>
      <c r="H635" s="100"/>
    </row>
    <row r="636" spans="4:8" ht="12.75" customHeight="1">
      <c r="D636" s="99"/>
      <c r="E636" s="100"/>
      <c r="F636" s="100"/>
      <c r="G636" s="100"/>
      <c r="H636" s="100"/>
    </row>
    <row r="637" spans="4:8" ht="12.75" customHeight="1">
      <c r="D637" s="99"/>
      <c r="E637" s="100"/>
      <c r="F637" s="100"/>
      <c r="G637" s="100"/>
      <c r="H637" s="100"/>
    </row>
    <row r="638" spans="4:8" ht="12.75" customHeight="1">
      <c r="D638" s="99"/>
      <c r="E638" s="100"/>
      <c r="F638" s="100"/>
      <c r="G638" s="100"/>
      <c r="H638" s="100"/>
    </row>
    <row r="639" spans="4:8" ht="12.75" customHeight="1">
      <c r="D639" s="99"/>
      <c r="E639" s="100"/>
      <c r="F639" s="100"/>
      <c r="G639" s="100"/>
      <c r="H639" s="100"/>
    </row>
    <row r="640" spans="4:8" ht="12.75" customHeight="1">
      <c r="D640" s="99"/>
      <c r="E640" s="100"/>
      <c r="F640" s="100"/>
      <c r="G640" s="100"/>
      <c r="H640" s="100"/>
    </row>
    <row r="641" spans="4:8" ht="12.75" customHeight="1">
      <c r="D641" s="99"/>
      <c r="E641" s="100"/>
      <c r="F641" s="100"/>
      <c r="G641" s="100"/>
      <c r="H641" s="100"/>
    </row>
    <row r="642" spans="4:8" ht="12.75" customHeight="1">
      <c r="D642" s="99"/>
      <c r="E642" s="100"/>
      <c r="F642" s="100"/>
      <c r="G642" s="100"/>
      <c r="H642" s="100"/>
    </row>
    <row r="643" spans="4:8" ht="12.75" customHeight="1">
      <c r="D643" s="99"/>
      <c r="E643" s="100"/>
      <c r="F643" s="100"/>
      <c r="G643" s="100"/>
      <c r="H643" s="100"/>
    </row>
    <row r="644" spans="4:8" ht="12.75" customHeight="1">
      <c r="D644" s="99"/>
      <c r="E644" s="100"/>
      <c r="F644" s="100"/>
      <c r="G644" s="100"/>
      <c r="H644" s="100"/>
    </row>
    <row r="645" spans="4:8" ht="12.75" customHeight="1">
      <c r="D645" s="99"/>
      <c r="E645" s="100"/>
      <c r="F645" s="100"/>
      <c r="G645" s="100"/>
      <c r="H645" s="100"/>
    </row>
    <row r="646" spans="4:8" ht="12.75" customHeight="1">
      <c r="D646" s="99"/>
      <c r="E646" s="100"/>
      <c r="F646" s="100"/>
      <c r="G646" s="100"/>
      <c r="H646" s="100"/>
    </row>
    <row r="647" spans="4:8" ht="12.75" customHeight="1">
      <c r="D647" s="99"/>
      <c r="E647" s="100"/>
      <c r="F647" s="100"/>
      <c r="G647" s="100"/>
      <c r="H647" s="100"/>
    </row>
    <row r="648" spans="4:8" ht="12.75" customHeight="1">
      <c r="D648" s="99"/>
      <c r="E648" s="100"/>
      <c r="F648" s="100"/>
      <c r="G648" s="100"/>
      <c r="H648" s="100"/>
    </row>
    <row r="649" spans="4:8" ht="12.75" customHeight="1">
      <c r="D649" s="99"/>
      <c r="E649" s="100"/>
      <c r="F649" s="100"/>
      <c r="G649" s="100"/>
      <c r="H649" s="100"/>
    </row>
    <row r="650" spans="4:8" ht="12.75" customHeight="1">
      <c r="D650" s="99"/>
      <c r="E650" s="100"/>
      <c r="F650" s="100"/>
      <c r="G650" s="100"/>
      <c r="H650" s="100"/>
    </row>
    <row r="651" spans="4:8" ht="12.75" customHeight="1">
      <c r="D651" s="99"/>
      <c r="E651" s="100"/>
      <c r="F651" s="100"/>
      <c r="G651" s="100"/>
      <c r="H651" s="100"/>
    </row>
    <row r="652" spans="4:8" ht="12.75" customHeight="1">
      <c r="D652" s="99"/>
      <c r="E652" s="100"/>
      <c r="F652" s="100"/>
      <c r="G652" s="100"/>
      <c r="H652" s="100"/>
    </row>
    <row r="653" spans="4:8" ht="12.75" customHeight="1">
      <c r="D653" s="99"/>
      <c r="E653" s="100"/>
      <c r="F653" s="100"/>
      <c r="G653" s="100"/>
      <c r="H653" s="100"/>
    </row>
    <row r="654" spans="4:8" ht="12.75" customHeight="1">
      <c r="D654" s="99"/>
      <c r="E654" s="100"/>
      <c r="F654" s="100"/>
      <c r="G654" s="100"/>
      <c r="H654" s="100"/>
    </row>
    <row r="655" spans="4:8" ht="12.75" customHeight="1">
      <c r="D655" s="99"/>
      <c r="E655" s="100"/>
      <c r="F655" s="100"/>
      <c r="G655" s="100"/>
      <c r="H655" s="100"/>
    </row>
    <row r="656" spans="4:8" ht="12.75" customHeight="1">
      <c r="D656" s="99"/>
      <c r="E656" s="100"/>
      <c r="F656" s="100"/>
      <c r="G656" s="100"/>
      <c r="H656" s="100"/>
    </row>
    <row r="657" spans="4:8" ht="12.75" customHeight="1">
      <c r="D657" s="99"/>
      <c r="E657" s="100"/>
      <c r="F657" s="100"/>
      <c r="G657" s="100"/>
      <c r="H657" s="100"/>
    </row>
    <row r="658" spans="4:8" ht="12.75" customHeight="1">
      <c r="D658" s="99"/>
      <c r="E658" s="100"/>
      <c r="F658" s="100"/>
      <c r="G658" s="100"/>
      <c r="H658" s="100"/>
    </row>
    <row r="659" spans="4:8" ht="12.75" customHeight="1">
      <c r="D659" s="99"/>
      <c r="E659" s="100"/>
      <c r="F659" s="100"/>
      <c r="G659" s="100"/>
      <c r="H659" s="100"/>
    </row>
    <row r="660" spans="4:8" ht="12.75" customHeight="1">
      <c r="D660" s="99"/>
      <c r="E660" s="100"/>
      <c r="F660" s="100"/>
      <c r="G660" s="100"/>
      <c r="H660" s="100"/>
    </row>
    <row r="661" spans="4:8" ht="12.75" customHeight="1">
      <c r="D661" s="99"/>
      <c r="E661" s="100"/>
      <c r="F661" s="100"/>
      <c r="G661" s="100"/>
      <c r="H661" s="100"/>
    </row>
    <row r="662" spans="4:8" ht="12.75" customHeight="1">
      <c r="D662" s="99"/>
      <c r="E662" s="100"/>
      <c r="F662" s="100"/>
      <c r="G662" s="100"/>
      <c r="H662" s="100"/>
    </row>
    <row r="663" spans="4:8" ht="12.75" customHeight="1">
      <c r="D663" s="99"/>
      <c r="E663" s="100"/>
      <c r="F663" s="100"/>
      <c r="G663" s="100"/>
      <c r="H663" s="100"/>
    </row>
    <row r="664" spans="4:8" ht="12.75" customHeight="1">
      <c r="D664" s="99"/>
      <c r="E664" s="100"/>
      <c r="F664" s="100"/>
      <c r="G664" s="100"/>
      <c r="H664" s="100"/>
    </row>
    <row r="665" spans="4:8" ht="12.75" customHeight="1">
      <c r="D665" s="99"/>
      <c r="E665" s="100"/>
      <c r="F665" s="100"/>
      <c r="G665" s="100"/>
      <c r="H665" s="100"/>
    </row>
    <row r="666" spans="4:8" ht="12.75" customHeight="1">
      <c r="D666" s="99"/>
      <c r="E666" s="100"/>
      <c r="F666" s="100"/>
      <c r="G666" s="100"/>
      <c r="H666" s="100"/>
    </row>
    <row r="667" spans="4:8" ht="12.75" customHeight="1">
      <c r="D667" s="99"/>
      <c r="E667" s="100"/>
      <c r="F667" s="100"/>
      <c r="G667" s="100"/>
      <c r="H667" s="100"/>
    </row>
    <row r="668" spans="4:8" ht="12.75" customHeight="1">
      <c r="D668" s="99"/>
      <c r="E668" s="100"/>
      <c r="F668" s="100"/>
      <c r="G668" s="100"/>
      <c r="H668" s="100"/>
    </row>
    <row r="669" spans="4:8" ht="12.75" customHeight="1">
      <c r="D669" s="99"/>
      <c r="E669" s="100"/>
      <c r="F669" s="100"/>
      <c r="G669" s="100"/>
      <c r="H669" s="100"/>
    </row>
    <row r="670" spans="4:8" ht="12.75" customHeight="1">
      <c r="D670" s="99"/>
      <c r="E670" s="100"/>
      <c r="F670" s="100"/>
      <c r="G670" s="100"/>
      <c r="H670" s="100"/>
    </row>
    <row r="671" spans="4:8" ht="12.75" customHeight="1">
      <c r="D671" s="99"/>
      <c r="E671" s="100"/>
      <c r="F671" s="100"/>
      <c r="G671" s="100"/>
      <c r="H671" s="100"/>
    </row>
    <row r="672" spans="4:8" ht="12.75" customHeight="1">
      <c r="D672" s="99"/>
      <c r="E672" s="100"/>
      <c r="F672" s="100"/>
      <c r="G672" s="100"/>
      <c r="H672" s="100"/>
    </row>
    <row r="673" spans="4:8" ht="12.75" customHeight="1">
      <c r="D673" s="99"/>
      <c r="E673" s="100"/>
      <c r="F673" s="100"/>
      <c r="G673" s="100"/>
      <c r="H673" s="100"/>
    </row>
    <row r="674" spans="4:8" ht="12.75" customHeight="1">
      <c r="D674" s="99"/>
      <c r="E674" s="100"/>
      <c r="F674" s="100"/>
      <c r="G674" s="100"/>
      <c r="H674" s="100"/>
    </row>
    <row r="675" spans="4:8" ht="12.75" customHeight="1">
      <c r="D675" s="99"/>
      <c r="E675" s="100"/>
      <c r="F675" s="100"/>
      <c r="G675" s="100"/>
      <c r="H675" s="100"/>
    </row>
    <row r="676" spans="4:8" ht="12.75" customHeight="1">
      <c r="D676" s="99"/>
      <c r="E676" s="100"/>
      <c r="F676" s="100"/>
      <c r="G676" s="100"/>
      <c r="H676" s="100"/>
    </row>
    <row r="677" spans="4:8" ht="12.75" customHeight="1">
      <c r="D677" s="99"/>
      <c r="E677" s="100"/>
      <c r="F677" s="100"/>
      <c r="G677" s="100"/>
      <c r="H677" s="100"/>
    </row>
    <row r="678" spans="4:8" ht="12.75" customHeight="1">
      <c r="D678" s="99"/>
      <c r="E678" s="100"/>
      <c r="F678" s="100"/>
      <c r="G678" s="100"/>
      <c r="H678" s="100"/>
    </row>
    <row r="679" spans="4:8" ht="12.75" customHeight="1">
      <c r="D679" s="99"/>
      <c r="E679" s="100"/>
      <c r="F679" s="100"/>
      <c r="G679" s="100"/>
      <c r="H679" s="100"/>
    </row>
    <row r="680" spans="4:8" ht="12.75" customHeight="1">
      <c r="D680" s="99"/>
      <c r="E680" s="100"/>
      <c r="F680" s="100"/>
      <c r="G680" s="100"/>
      <c r="H680" s="100"/>
    </row>
    <row r="681" spans="4:8" ht="12.75" customHeight="1">
      <c r="D681" s="99"/>
      <c r="E681" s="100"/>
      <c r="F681" s="100"/>
      <c r="G681" s="100"/>
      <c r="H681" s="100"/>
    </row>
    <row r="682" spans="4:8" ht="12.75" customHeight="1">
      <c r="D682" s="99"/>
      <c r="E682" s="100"/>
      <c r="F682" s="100"/>
      <c r="G682" s="100"/>
      <c r="H682" s="100"/>
    </row>
    <row r="683" spans="4:8" ht="12.75" customHeight="1">
      <c r="D683" s="99"/>
      <c r="E683" s="100"/>
      <c r="F683" s="100"/>
      <c r="G683" s="100"/>
      <c r="H683" s="100"/>
    </row>
    <row r="684" spans="4:8" ht="12.75" customHeight="1">
      <c r="D684" s="99"/>
      <c r="E684" s="100"/>
      <c r="F684" s="100"/>
      <c r="G684" s="100"/>
      <c r="H684" s="100"/>
    </row>
    <row r="685" spans="4:8" ht="12.75" customHeight="1">
      <c r="D685" s="99"/>
      <c r="E685" s="100"/>
      <c r="F685" s="100"/>
      <c r="G685" s="100"/>
      <c r="H685" s="100"/>
    </row>
    <row r="686" spans="4:8" ht="12.75" customHeight="1">
      <c r="D686" s="99"/>
      <c r="E686" s="100"/>
      <c r="F686" s="100"/>
      <c r="G686" s="100"/>
      <c r="H686" s="100"/>
    </row>
    <row r="687" spans="4:8" ht="12.75" customHeight="1">
      <c r="D687" s="99"/>
      <c r="E687" s="100"/>
      <c r="F687" s="100"/>
      <c r="G687" s="100"/>
      <c r="H687" s="100"/>
    </row>
    <row r="688" spans="4:8" ht="12.75" customHeight="1">
      <c r="D688" s="99"/>
      <c r="E688" s="100"/>
      <c r="F688" s="100"/>
      <c r="G688" s="100"/>
      <c r="H688" s="100"/>
    </row>
    <row r="689" spans="4:8" ht="12.75" customHeight="1">
      <c r="D689" s="99"/>
      <c r="E689" s="100"/>
      <c r="F689" s="100"/>
      <c r="G689" s="100"/>
      <c r="H689" s="100"/>
    </row>
    <row r="690" spans="4:8" ht="12.75" customHeight="1">
      <c r="D690" s="99"/>
      <c r="E690" s="100"/>
      <c r="F690" s="100"/>
      <c r="G690" s="100"/>
      <c r="H690" s="100"/>
    </row>
    <row r="691" spans="4:8" ht="12.75" customHeight="1">
      <c r="D691" s="99"/>
      <c r="E691" s="100"/>
      <c r="F691" s="100"/>
      <c r="G691" s="100"/>
      <c r="H691" s="100"/>
    </row>
    <row r="692" spans="4:8" ht="12.75" customHeight="1">
      <c r="D692" s="99"/>
      <c r="E692" s="100"/>
      <c r="F692" s="100"/>
      <c r="G692" s="100"/>
      <c r="H692" s="100"/>
    </row>
    <row r="693" spans="4:8" ht="12.75" customHeight="1">
      <c r="D693" s="99"/>
      <c r="E693" s="100"/>
      <c r="F693" s="100"/>
      <c r="G693" s="100"/>
      <c r="H693" s="100"/>
    </row>
    <row r="694" spans="4:8" ht="12.75" customHeight="1">
      <c r="D694" s="99"/>
      <c r="E694" s="100"/>
      <c r="F694" s="100"/>
      <c r="G694" s="100"/>
      <c r="H694" s="100"/>
    </row>
    <row r="695" spans="4:8" ht="12.75" customHeight="1">
      <c r="D695" s="99"/>
      <c r="E695" s="100"/>
      <c r="F695" s="100"/>
      <c r="G695" s="100"/>
      <c r="H695" s="100"/>
    </row>
    <row r="696" spans="4:8" ht="12.75" customHeight="1">
      <c r="D696" s="99"/>
      <c r="E696" s="100"/>
      <c r="F696" s="100"/>
      <c r="G696" s="100"/>
      <c r="H696" s="100"/>
    </row>
    <row r="697" spans="4:8" ht="12.75" customHeight="1">
      <c r="D697" s="99"/>
      <c r="E697" s="100"/>
      <c r="F697" s="100"/>
      <c r="G697" s="100"/>
      <c r="H697" s="100"/>
    </row>
    <row r="698" spans="4:8" ht="12.75" customHeight="1">
      <c r="D698" s="99"/>
      <c r="E698" s="100"/>
      <c r="F698" s="100"/>
      <c r="G698" s="100"/>
      <c r="H698" s="100"/>
    </row>
    <row r="699" spans="4:8" ht="12.75" customHeight="1">
      <c r="D699" s="99"/>
      <c r="E699" s="100"/>
      <c r="F699" s="100"/>
      <c r="G699" s="100"/>
      <c r="H699" s="100"/>
    </row>
    <row r="700" spans="4:8" ht="12.75" customHeight="1">
      <c r="D700" s="99"/>
      <c r="E700" s="100"/>
      <c r="F700" s="100"/>
      <c r="G700" s="100"/>
      <c r="H700" s="100"/>
    </row>
    <row r="701" spans="4:8" ht="12.75" customHeight="1">
      <c r="D701" s="99"/>
      <c r="E701" s="100"/>
      <c r="F701" s="100"/>
      <c r="G701" s="100"/>
      <c r="H701" s="100"/>
    </row>
    <row r="702" spans="4:8" ht="12.75" customHeight="1">
      <c r="D702" s="99"/>
      <c r="E702" s="100"/>
      <c r="F702" s="100"/>
      <c r="G702" s="100"/>
      <c r="H702" s="100"/>
    </row>
    <row r="703" spans="4:8" ht="12.75" customHeight="1">
      <c r="D703" s="99"/>
      <c r="E703" s="100"/>
      <c r="F703" s="100"/>
      <c r="G703" s="100"/>
      <c r="H703" s="100"/>
    </row>
    <row r="704" spans="4:8" ht="12.75" customHeight="1">
      <c r="D704" s="99"/>
      <c r="E704" s="100"/>
      <c r="F704" s="100"/>
      <c r="G704" s="100"/>
      <c r="H704" s="100"/>
    </row>
    <row r="705" spans="4:8" ht="12.75" customHeight="1">
      <c r="D705" s="99"/>
      <c r="E705" s="100"/>
      <c r="F705" s="100"/>
      <c r="G705" s="100"/>
      <c r="H705" s="100"/>
    </row>
    <row r="706" spans="4:8" ht="12.75" customHeight="1">
      <c r="D706" s="99"/>
      <c r="E706" s="100"/>
      <c r="F706" s="100"/>
      <c r="G706" s="100"/>
      <c r="H706" s="100"/>
    </row>
    <row r="707" spans="4:8" ht="12.75" customHeight="1">
      <c r="D707" s="99"/>
      <c r="E707" s="100"/>
      <c r="F707" s="100"/>
      <c r="G707" s="100"/>
      <c r="H707" s="100"/>
    </row>
    <row r="708" spans="4:8" ht="12.75" customHeight="1">
      <c r="D708" s="99"/>
      <c r="E708" s="100"/>
      <c r="F708" s="100"/>
      <c r="G708" s="100"/>
      <c r="H708" s="100"/>
    </row>
    <row r="709" spans="4:8" ht="12.75" customHeight="1">
      <c r="D709" s="99"/>
      <c r="E709" s="100"/>
      <c r="F709" s="100"/>
      <c r="G709" s="100"/>
      <c r="H709" s="100"/>
    </row>
    <row r="710" spans="4:8" ht="12.75" customHeight="1">
      <c r="D710" s="99"/>
      <c r="E710" s="100"/>
      <c r="F710" s="100"/>
      <c r="G710" s="100"/>
      <c r="H710" s="100"/>
    </row>
    <row r="711" spans="4:8" ht="12.75" customHeight="1">
      <c r="D711" s="99"/>
      <c r="E711" s="100"/>
      <c r="F711" s="100"/>
      <c r="G711" s="100"/>
      <c r="H711" s="100"/>
    </row>
    <row r="712" spans="4:8" ht="12.75" customHeight="1">
      <c r="D712" s="99"/>
      <c r="E712" s="100"/>
      <c r="F712" s="100"/>
      <c r="G712" s="100"/>
      <c r="H712" s="100"/>
    </row>
    <row r="713" spans="4:8" ht="12.75" customHeight="1">
      <c r="D713" s="99"/>
      <c r="E713" s="100"/>
      <c r="F713" s="100"/>
      <c r="G713" s="100"/>
      <c r="H713" s="100"/>
    </row>
    <row r="714" spans="4:8" ht="12.75" customHeight="1">
      <c r="D714" s="99"/>
      <c r="E714" s="100"/>
      <c r="F714" s="100"/>
      <c r="G714" s="100"/>
      <c r="H714" s="100"/>
    </row>
    <row r="715" spans="4:8" ht="12.75" customHeight="1">
      <c r="D715" s="99"/>
      <c r="E715" s="100"/>
      <c r="F715" s="100"/>
      <c r="G715" s="100"/>
      <c r="H715" s="100"/>
    </row>
    <row r="716" spans="4:8" ht="12.75" customHeight="1">
      <c r="D716" s="99"/>
      <c r="E716" s="100"/>
      <c r="F716" s="100"/>
      <c r="G716" s="100"/>
      <c r="H716" s="100"/>
    </row>
    <row r="717" spans="4:8" ht="12.75" customHeight="1">
      <c r="D717" s="99"/>
      <c r="E717" s="100"/>
      <c r="F717" s="100"/>
      <c r="G717" s="100"/>
      <c r="H717" s="100"/>
    </row>
    <row r="718" spans="4:8" ht="12.75" customHeight="1">
      <c r="D718" s="99"/>
      <c r="E718" s="100"/>
      <c r="F718" s="100"/>
      <c r="G718" s="100"/>
      <c r="H718" s="100"/>
    </row>
    <row r="719" spans="4:8" ht="12.75" customHeight="1">
      <c r="D719" s="99"/>
      <c r="E719" s="100"/>
      <c r="F719" s="100"/>
      <c r="G719" s="100"/>
      <c r="H719" s="100"/>
    </row>
    <row r="720" spans="4:8" ht="12.75" customHeight="1">
      <c r="D720" s="99"/>
      <c r="E720" s="100"/>
      <c r="F720" s="100"/>
      <c r="G720" s="100"/>
      <c r="H720" s="100"/>
    </row>
    <row r="721" spans="4:8" ht="12.75" customHeight="1">
      <c r="D721" s="99"/>
      <c r="E721" s="100"/>
      <c r="F721" s="100"/>
      <c r="G721" s="100"/>
      <c r="H721" s="100"/>
    </row>
    <row r="722" spans="4:8" ht="12.75" customHeight="1">
      <c r="D722" s="99"/>
      <c r="E722" s="100"/>
      <c r="F722" s="100"/>
      <c r="G722" s="100"/>
      <c r="H722" s="100"/>
    </row>
    <row r="723" spans="4:8" ht="12.75" customHeight="1">
      <c r="D723" s="99"/>
      <c r="E723" s="100"/>
      <c r="F723" s="100"/>
      <c r="G723" s="100"/>
      <c r="H723" s="100"/>
    </row>
    <row r="724" spans="4:8" ht="12.75" customHeight="1">
      <c r="D724" s="99"/>
      <c r="E724" s="100"/>
      <c r="F724" s="100"/>
      <c r="G724" s="100"/>
      <c r="H724" s="100"/>
    </row>
    <row r="725" spans="4:8" ht="12.75" customHeight="1">
      <c r="D725" s="99"/>
      <c r="E725" s="100"/>
      <c r="F725" s="100"/>
      <c r="G725" s="100"/>
      <c r="H725" s="100"/>
    </row>
    <row r="726" spans="4:8" ht="12.75" customHeight="1">
      <c r="D726" s="99"/>
      <c r="E726" s="100"/>
      <c r="F726" s="100"/>
      <c r="G726" s="100"/>
      <c r="H726" s="100"/>
    </row>
    <row r="727" spans="4:8" ht="12.75" customHeight="1">
      <c r="D727" s="99"/>
      <c r="E727" s="100"/>
      <c r="F727" s="100"/>
      <c r="G727" s="100"/>
      <c r="H727" s="100"/>
    </row>
    <row r="728" spans="4:8" ht="12.75" customHeight="1">
      <c r="D728" s="99"/>
      <c r="E728" s="100"/>
      <c r="F728" s="100"/>
      <c r="G728" s="100"/>
      <c r="H728" s="100"/>
    </row>
    <row r="729" spans="4:8" ht="12.75" customHeight="1">
      <c r="D729" s="99"/>
      <c r="E729" s="100"/>
      <c r="F729" s="100"/>
      <c r="G729" s="100"/>
      <c r="H729" s="100"/>
    </row>
    <row r="730" spans="4:8" ht="12.75" customHeight="1">
      <c r="D730" s="99"/>
      <c r="E730" s="100"/>
      <c r="F730" s="100"/>
      <c r="G730" s="100"/>
      <c r="H730" s="100"/>
    </row>
    <row r="731" spans="4:8" ht="12.75" customHeight="1">
      <c r="D731" s="99"/>
      <c r="E731" s="100"/>
      <c r="F731" s="100"/>
      <c r="G731" s="100"/>
      <c r="H731" s="100"/>
    </row>
    <row r="732" spans="4:8" ht="12.75" customHeight="1">
      <c r="D732" s="99"/>
      <c r="E732" s="100"/>
      <c r="F732" s="100"/>
      <c r="G732" s="100"/>
      <c r="H732" s="100"/>
    </row>
    <row r="733" spans="4:8" ht="12.75" customHeight="1">
      <c r="D733" s="99"/>
      <c r="E733" s="100"/>
      <c r="F733" s="100"/>
      <c r="G733" s="100"/>
      <c r="H733" s="100"/>
    </row>
    <row r="734" spans="4:8" ht="12.75" customHeight="1">
      <c r="D734" s="99"/>
      <c r="E734" s="100"/>
      <c r="F734" s="100"/>
      <c r="G734" s="100"/>
      <c r="H734" s="100"/>
    </row>
    <row r="735" spans="4:8" ht="12.75" customHeight="1">
      <c r="D735" s="99"/>
      <c r="E735" s="100"/>
      <c r="F735" s="100"/>
      <c r="G735" s="100"/>
      <c r="H735" s="100"/>
    </row>
    <row r="736" spans="4:8" ht="12.75" customHeight="1">
      <c r="D736" s="99"/>
      <c r="E736" s="100"/>
      <c r="F736" s="100"/>
      <c r="G736" s="100"/>
      <c r="H736" s="100"/>
    </row>
    <row r="737" spans="4:8" ht="12.75" customHeight="1">
      <c r="D737" s="99"/>
      <c r="E737" s="100"/>
      <c r="F737" s="100"/>
      <c r="G737" s="100"/>
      <c r="H737" s="100"/>
    </row>
    <row r="738" spans="4:8" ht="12.75" customHeight="1">
      <c r="D738" s="99"/>
      <c r="E738" s="100"/>
      <c r="F738" s="100"/>
      <c r="G738" s="100"/>
      <c r="H738" s="100"/>
    </row>
    <row r="739" spans="4:8" ht="12.75" customHeight="1">
      <c r="D739" s="99"/>
      <c r="E739" s="100"/>
      <c r="F739" s="100"/>
      <c r="G739" s="100"/>
      <c r="H739" s="100"/>
    </row>
    <row r="740" spans="4:8" ht="12.75" customHeight="1">
      <c r="D740" s="99"/>
      <c r="E740" s="100"/>
      <c r="F740" s="100"/>
      <c r="G740" s="100"/>
      <c r="H740" s="100"/>
    </row>
    <row r="741" spans="4:8" ht="12.75" customHeight="1">
      <c r="D741" s="99"/>
      <c r="E741" s="100"/>
      <c r="F741" s="100"/>
      <c r="G741" s="100"/>
      <c r="H741" s="100"/>
    </row>
    <row r="742" spans="4:8" ht="12.75" customHeight="1">
      <c r="D742" s="99"/>
      <c r="E742" s="100"/>
      <c r="F742" s="100"/>
      <c r="G742" s="100"/>
      <c r="H742" s="100"/>
    </row>
    <row r="743" spans="4:8" ht="12.75" customHeight="1">
      <c r="D743" s="99"/>
      <c r="E743" s="100"/>
      <c r="F743" s="100"/>
      <c r="G743" s="100"/>
      <c r="H743" s="100"/>
    </row>
    <row r="744" spans="4:8" ht="12.75" customHeight="1">
      <c r="D744" s="99"/>
      <c r="E744" s="100"/>
      <c r="F744" s="100"/>
      <c r="G744" s="100"/>
      <c r="H744" s="100"/>
    </row>
    <row r="745" spans="4:8" ht="12.75" customHeight="1">
      <c r="D745" s="99"/>
      <c r="E745" s="100"/>
      <c r="F745" s="100"/>
      <c r="G745" s="100"/>
      <c r="H745" s="100"/>
    </row>
    <row r="746" spans="4:8" ht="12.75" customHeight="1">
      <c r="D746" s="99"/>
      <c r="E746" s="100"/>
      <c r="F746" s="100"/>
      <c r="G746" s="100"/>
      <c r="H746" s="100"/>
    </row>
    <row r="747" spans="4:8" ht="12.75" customHeight="1">
      <c r="D747" s="99"/>
      <c r="E747" s="100"/>
      <c r="F747" s="100"/>
      <c r="G747" s="100"/>
      <c r="H747" s="100"/>
    </row>
    <row r="748" spans="4:8" ht="12.75" customHeight="1">
      <c r="D748" s="99"/>
      <c r="E748" s="100"/>
      <c r="F748" s="100"/>
      <c r="G748" s="100"/>
      <c r="H748" s="100"/>
    </row>
    <row r="749" spans="4:8" ht="12.75" customHeight="1">
      <c r="D749" s="99"/>
      <c r="E749" s="100"/>
      <c r="F749" s="100"/>
      <c r="G749" s="100"/>
      <c r="H749" s="100"/>
    </row>
    <row r="750" spans="4:8" ht="12.75" customHeight="1">
      <c r="D750" s="99"/>
      <c r="E750" s="100"/>
      <c r="F750" s="100"/>
      <c r="G750" s="100"/>
      <c r="H750" s="100"/>
    </row>
    <row r="751" spans="4:8" ht="12.75" customHeight="1">
      <c r="D751" s="99"/>
      <c r="E751" s="100"/>
      <c r="F751" s="100"/>
      <c r="G751" s="100"/>
      <c r="H751" s="100"/>
    </row>
    <row r="752" spans="4:8" ht="12.75" customHeight="1">
      <c r="D752" s="99"/>
      <c r="E752" s="100"/>
      <c r="F752" s="100"/>
      <c r="G752" s="100"/>
      <c r="H752" s="100"/>
    </row>
    <row r="753" spans="4:8" ht="12.75" customHeight="1">
      <c r="D753" s="99"/>
      <c r="E753" s="100"/>
      <c r="F753" s="100"/>
      <c r="G753" s="100"/>
      <c r="H753" s="100"/>
    </row>
    <row r="754" spans="4:8" ht="13.5" customHeight="1">
      <c r="D754" s="99"/>
      <c r="E754" s="100"/>
      <c r="F754" s="100"/>
      <c r="G754" s="100"/>
      <c r="H754" s="100"/>
    </row>
    <row r="755" spans="4:8" ht="12.75" customHeight="1">
      <c r="D755" s="99"/>
      <c r="E755" s="100"/>
      <c r="F755" s="100"/>
      <c r="G755" s="100"/>
      <c r="H755" s="100"/>
    </row>
    <row r="756" spans="4:8" ht="12.75" customHeight="1">
      <c r="D756" s="99"/>
      <c r="E756" s="100"/>
      <c r="F756" s="100"/>
      <c r="G756" s="100"/>
      <c r="H756" s="100"/>
    </row>
    <row r="757" spans="4:8" ht="12.75" customHeight="1">
      <c r="D757" s="99"/>
      <c r="E757" s="100"/>
      <c r="F757" s="100"/>
      <c r="G757" s="100"/>
      <c r="H757" s="100"/>
    </row>
    <row r="758" spans="4:8" ht="12.75" customHeight="1">
      <c r="D758" s="99"/>
      <c r="E758" s="100"/>
      <c r="F758" s="100"/>
      <c r="G758" s="100"/>
      <c r="H758" s="100"/>
    </row>
    <row r="759" spans="4:8" ht="12.75" customHeight="1">
      <c r="D759" s="99"/>
      <c r="E759" s="100"/>
      <c r="F759" s="100"/>
      <c r="G759" s="100"/>
      <c r="H759" s="100"/>
    </row>
    <row r="760" spans="4:8" ht="12.75" customHeight="1">
      <c r="D760" s="99"/>
      <c r="E760" s="100"/>
      <c r="F760" s="100"/>
      <c r="G760" s="100"/>
      <c r="H760" s="100"/>
    </row>
    <row r="761" spans="4:8" ht="12.75" customHeight="1">
      <c r="D761" s="99"/>
      <c r="E761" s="100"/>
      <c r="F761" s="100"/>
      <c r="G761" s="100"/>
      <c r="H761" s="100"/>
    </row>
    <row r="762" spans="4:8" ht="12.75" customHeight="1">
      <c r="D762" s="99"/>
      <c r="E762" s="100"/>
      <c r="F762" s="100"/>
      <c r="G762" s="100"/>
      <c r="H762" s="100"/>
    </row>
    <row r="763" spans="4:8" ht="12.75" customHeight="1">
      <c r="D763" s="99"/>
      <c r="E763" s="100"/>
      <c r="F763" s="100"/>
      <c r="G763" s="100"/>
      <c r="H763" s="100"/>
    </row>
    <row r="764" spans="4:8" ht="12.75" customHeight="1">
      <c r="D764" s="99"/>
      <c r="E764" s="100"/>
      <c r="F764" s="100"/>
      <c r="G764" s="100"/>
      <c r="H764" s="100"/>
    </row>
    <row r="765" spans="4:8" ht="12.75" customHeight="1">
      <c r="D765" s="99"/>
      <c r="E765" s="100"/>
      <c r="F765" s="100"/>
      <c r="G765" s="100"/>
      <c r="H765" s="100"/>
    </row>
    <row r="766" spans="4:8" ht="12.75" customHeight="1">
      <c r="D766" s="99"/>
      <c r="E766" s="100"/>
      <c r="F766" s="100"/>
      <c r="G766" s="100"/>
      <c r="H766" s="100"/>
    </row>
    <row r="767" spans="4:8" ht="12.75" customHeight="1">
      <c r="D767" s="99"/>
      <c r="E767" s="100"/>
      <c r="F767" s="100"/>
      <c r="G767" s="100"/>
      <c r="H767" s="100"/>
    </row>
    <row r="768" spans="4:8" ht="12.75" customHeight="1">
      <c r="D768" s="99"/>
      <c r="E768" s="100"/>
      <c r="F768" s="100"/>
      <c r="G768" s="100"/>
      <c r="H768" s="100"/>
    </row>
    <row r="769" spans="4:28" ht="12.75" customHeight="1">
      <c r="D769" s="99"/>
      <c r="E769" s="100"/>
      <c r="F769" s="100"/>
      <c r="G769" s="100"/>
      <c r="H769" s="100"/>
    </row>
    <row r="770" spans="4:28" ht="12.75" customHeight="1">
      <c r="D770" s="99"/>
      <c r="E770" s="100"/>
      <c r="F770" s="100"/>
      <c r="G770" s="100"/>
      <c r="H770" s="100"/>
    </row>
    <row r="771" spans="4:28" ht="12.75" customHeight="1">
      <c r="D771" s="99"/>
      <c r="E771" s="100"/>
      <c r="F771" s="100"/>
      <c r="G771" s="100"/>
      <c r="H771" s="100"/>
    </row>
    <row r="772" spans="4:28" ht="12.75" customHeight="1">
      <c r="D772" s="99"/>
      <c r="E772" s="100"/>
      <c r="F772" s="100"/>
      <c r="G772" s="100"/>
      <c r="H772" s="100"/>
    </row>
    <row r="773" spans="4:28" ht="12.75" customHeight="1">
      <c r="D773" s="99"/>
      <c r="E773" s="100"/>
      <c r="F773" s="100"/>
      <c r="G773" s="100"/>
      <c r="H773" s="100"/>
    </row>
    <row r="774" spans="4:28" ht="12.75" customHeight="1">
      <c r="D774" s="99"/>
      <c r="E774" s="100"/>
      <c r="F774" s="100"/>
      <c r="G774" s="100"/>
      <c r="H774" s="100"/>
    </row>
    <row r="775" spans="4:28" ht="12.75" customHeight="1">
      <c r="D775" s="99"/>
      <c r="E775" s="100"/>
      <c r="F775" s="100"/>
      <c r="G775" s="100"/>
      <c r="H775" s="100"/>
    </row>
    <row r="776" spans="4:28" ht="12.75" customHeight="1">
      <c r="D776" s="99"/>
      <c r="E776" s="100"/>
      <c r="F776" s="100"/>
      <c r="G776" s="100"/>
      <c r="H776" s="100"/>
    </row>
    <row r="777" spans="4:28" ht="12.75" customHeight="1">
      <c r="D777" s="99"/>
      <c r="E777" s="100"/>
      <c r="F777" s="100"/>
      <c r="G777" s="100"/>
      <c r="H777" s="100"/>
    </row>
    <row r="778" spans="4:28" ht="12.75" customHeight="1">
      <c r="D778" s="99"/>
      <c r="E778" s="100"/>
      <c r="F778" s="100"/>
      <c r="G778" s="100"/>
      <c r="H778" s="100"/>
    </row>
    <row r="779" spans="4:28" ht="12.75" customHeight="1">
      <c r="D779" s="99"/>
      <c r="E779" s="100"/>
      <c r="F779" s="100"/>
      <c r="G779" s="100"/>
      <c r="H779" s="100"/>
    </row>
    <row r="780" spans="4:28" ht="12.75" customHeight="1">
      <c r="D780" s="99"/>
      <c r="E780" s="100"/>
      <c r="F780" s="100"/>
      <c r="G780" s="100"/>
      <c r="H780" s="100"/>
    </row>
    <row r="781" spans="4:28" ht="12.75" customHeight="1">
      <c r="D781" s="99"/>
      <c r="E781" s="100"/>
      <c r="F781" s="100"/>
      <c r="G781" s="100"/>
      <c r="H781" s="100"/>
      <c r="AB781" s="9">
        <v>1</v>
      </c>
    </row>
    <row r="782" spans="4:28" ht="12.75" customHeight="1">
      <c r="D782" s="99"/>
      <c r="E782" s="100"/>
      <c r="F782" s="100"/>
      <c r="G782" s="100"/>
      <c r="H782" s="100"/>
    </row>
    <row r="783" spans="4:28" ht="12.75" customHeight="1">
      <c r="D783" s="99"/>
      <c r="E783" s="100"/>
      <c r="F783" s="100"/>
      <c r="G783" s="100"/>
      <c r="H783" s="100"/>
    </row>
    <row r="784" spans="4:28" ht="12.75" customHeight="1">
      <c r="D784" s="99"/>
      <c r="E784" s="100"/>
      <c r="F784" s="100"/>
      <c r="G784" s="100"/>
      <c r="H784" s="100"/>
    </row>
    <row r="785" spans="4:8" ht="12.75" customHeight="1">
      <c r="D785" s="99"/>
      <c r="E785" s="100"/>
      <c r="F785" s="100"/>
      <c r="G785" s="100"/>
      <c r="H785" s="100"/>
    </row>
    <row r="786" spans="4:8" ht="12.75" customHeight="1">
      <c r="D786" s="99"/>
      <c r="E786" s="100"/>
      <c r="F786" s="100"/>
      <c r="G786" s="100"/>
      <c r="H786" s="100"/>
    </row>
    <row r="787" spans="4:8" ht="12.75" customHeight="1">
      <c r="D787" s="99"/>
      <c r="E787" s="100"/>
      <c r="F787" s="100"/>
      <c r="G787" s="100"/>
      <c r="H787" s="100"/>
    </row>
    <row r="788" spans="4:8" ht="12.75" customHeight="1">
      <c r="D788" s="99"/>
      <c r="E788" s="100"/>
      <c r="F788" s="100"/>
      <c r="G788" s="100"/>
      <c r="H788" s="100"/>
    </row>
    <row r="789" spans="4:8" ht="12.75" customHeight="1">
      <c r="D789" s="99"/>
      <c r="E789" s="100"/>
      <c r="F789" s="100"/>
      <c r="G789" s="100"/>
      <c r="H789" s="100"/>
    </row>
    <row r="790" spans="4:8" ht="12.75" customHeight="1">
      <c r="D790" s="99"/>
      <c r="F790" s="100"/>
      <c r="G790" s="100"/>
      <c r="H790" s="100"/>
    </row>
    <row r="791" spans="4:8" ht="12.75" customHeight="1">
      <c r="D791" s="99"/>
      <c r="F791" s="100"/>
      <c r="G791" s="100"/>
      <c r="H791" s="100"/>
    </row>
    <row r="792" spans="4:8" ht="12.75" customHeight="1"/>
    <row r="793" spans="4:8" ht="12.75" customHeight="1"/>
    <row r="794" spans="4:8" ht="12.75" customHeight="1"/>
    <row r="795" spans="4:8" ht="12.75" customHeight="1"/>
    <row r="796" spans="4:8" ht="12.75" customHeight="1"/>
    <row r="797" spans="4:8" ht="12.75" customHeight="1"/>
    <row r="798" spans="4:8" ht="12.75" customHeight="1"/>
    <row r="799" spans="4:8" ht="12.75" customHeight="1"/>
    <row r="800" spans="4:8" ht="12.75" customHeight="1"/>
    <row r="801" ht="12.75" customHeight="1"/>
    <row r="802" ht="12.75" customHeight="1"/>
    <row r="803" ht="12.75" customHeight="1"/>
    <row r="804" ht="12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</sheetData>
  <sheetProtection selectLockedCells="1" selectUnlockedCells="1"/>
  <mergeCells count="146">
    <mergeCell ref="B4:I4"/>
    <mergeCell ref="K4:Q4"/>
    <mergeCell ref="E6:I6"/>
    <mergeCell ref="K6:L6"/>
    <mergeCell ref="N6:Q6"/>
    <mergeCell ref="E9:I9"/>
    <mergeCell ref="K9:L9"/>
    <mergeCell ref="N9:Q9"/>
    <mergeCell ref="E10:I10"/>
    <mergeCell ref="K10:L10"/>
    <mergeCell ref="N10:Q10"/>
    <mergeCell ref="E7:I7"/>
    <mergeCell ref="K7:L7"/>
    <mergeCell ref="N7:Q7"/>
    <mergeCell ref="E8:I8"/>
    <mergeCell ref="K8:L8"/>
    <mergeCell ref="N8:Q8"/>
    <mergeCell ref="E11:F11"/>
    <mergeCell ref="H11:I11"/>
    <mergeCell ref="K11:L11"/>
    <mergeCell ref="N11:O11"/>
    <mergeCell ref="P11:Q11"/>
    <mergeCell ref="E12:F12"/>
    <mergeCell ref="H12:I12"/>
    <mergeCell ref="K12:L12"/>
    <mergeCell ref="N12:O12"/>
    <mergeCell ref="P12:Q12"/>
    <mergeCell ref="F16:I16"/>
    <mergeCell ref="F17:I17"/>
    <mergeCell ref="K17:L17"/>
    <mergeCell ref="N17:O17"/>
    <mergeCell ref="P17:Q17"/>
    <mergeCell ref="K18:L18"/>
    <mergeCell ref="N18:O18"/>
    <mergeCell ref="P18:Q18"/>
    <mergeCell ref="E13:F13"/>
    <mergeCell ref="H13:I13"/>
    <mergeCell ref="K13:L13"/>
    <mergeCell ref="N13:O13"/>
    <mergeCell ref="P13:Q13"/>
    <mergeCell ref="F15:I15"/>
    <mergeCell ref="K15:L16"/>
    <mergeCell ref="M15:M16"/>
    <mergeCell ref="N15:O16"/>
    <mergeCell ref="P15:Q16"/>
    <mergeCell ref="W18:X18"/>
    <mergeCell ref="K19:L19"/>
    <mergeCell ref="N19:O19"/>
    <mergeCell ref="P19:Q19"/>
    <mergeCell ref="W19:X19"/>
    <mergeCell ref="F20:I20"/>
    <mergeCell ref="K20:L20"/>
    <mergeCell ref="N20:O20"/>
    <mergeCell ref="P20:Q20"/>
    <mergeCell ref="W20:X20"/>
    <mergeCell ref="K23:L23"/>
    <mergeCell ref="N23:O23"/>
    <mergeCell ref="P23:Q23"/>
    <mergeCell ref="F24:I24"/>
    <mergeCell ref="K24:L24"/>
    <mergeCell ref="N24:O24"/>
    <mergeCell ref="K21:L21"/>
    <mergeCell ref="N21:O21"/>
    <mergeCell ref="P21:Q21"/>
    <mergeCell ref="F22:I22"/>
    <mergeCell ref="K22:L22"/>
    <mergeCell ref="N22:O22"/>
    <mergeCell ref="P22:Q22"/>
    <mergeCell ref="F27:I27"/>
    <mergeCell ref="K27:L27"/>
    <mergeCell ref="N27:O27"/>
    <mergeCell ref="K28:L28"/>
    <mergeCell ref="N28:O28"/>
    <mergeCell ref="F29:I29"/>
    <mergeCell ref="K29:L29"/>
    <mergeCell ref="N29:O29"/>
    <mergeCell ref="B25:C25"/>
    <mergeCell ref="H25:I25"/>
    <mergeCell ref="K25:L25"/>
    <mergeCell ref="N25:O25"/>
    <mergeCell ref="F26:I26"/>
    <mergeCell ref="K26:L26"/>
    <mergeCell ref="N26:O26"/>
    <mergeCell ref="F33:I33"/>
    <mergeCell ref="K33:L33"/>
    <mergeCell ref="N33:O33"/>
    <mergeCell ref="F34:I34"/>
    <mergeCell ref="K34:L34"/>
    <mergeCell ref="N34:O34"/>
    <mergeCell ref="K30:L30"/>
    <mergeCell ref="N30:O30"/>
    <mergeCell ref="K31:L31"/>
    <mergeCell ref="N31:O31"/>
    <mergeCell ref="K32:L32"/>
    <mergeCell ref="N32:O32"/>
    <mergeCell ref="F37:I37"/>
    <mergeCell ref="K37:L37"/>
    <mergeCell ref="N37:O37"/>
    <mergeCell ref="K38:L38"/>
    <mergeCell ref="N38:O38"/>
    <mergeCell ref="K39:L39"/>
    <mergeCell ref="N39:O39"/>
    <mergeCell ref="F35:I35"/>
    <mergeCell ref="K35:L35"/>
    <mergeCell ref="N35:O35"/>
    <mergeCell ref="F36:I36"/>
    <mergeCell ref="K36:L36"/>
    <mergeCell ref="N36:O36"/>
    <mergeCell ref="B64:C65"/>
    <mergeCell ref="D64:F65"/>
    <mergeCell ref="G64:I65"/>
    <mergeCell ref="B66:C67"/>
    <mergeCell ref="D66:F67"/>
    <mergeCell ref="G66:I67"/>
    <mergeCell ref="L49:M49"/>
    <mergeCell ref="O49:Q49"/>
    <mergeCell ref="B60:C61"/>
    <mergeCell ref="D60:F61"/>
    <mergeCell ref="G60:I61"/>
    <mergeCell ref="B62:C63"/>
    <mergeCell ref="D62:F63"/>
    <mergeCell ref="G62:I63"/>
    <mergeCell ref="L243:M243"/>
    <mergeCell ref="P2:Q2"/>
    <mergeCell ref="K68:M68"/>
    <mergeCell ref="O68:Q68"/>
    <mergeCell ref="D69:F69"/>
    <mergeCell ref="L69:M69"/>
    <mergeCell ref="O69:Q69"/>
    <mergeCell ref="K242:M242"/>
    <mergeCell ref="P242:Q242"/>
    <mergeCell ref="F44:I44"/>
    <mergeCell ref="N44:O44"/>
    <mergeCell ref="F45:I45"/>
    <mergeCell ref="F46:I46"/>
    <mergeCell ref="F48:G48"/>
    <mergeCell ref="K48:M48"/>
    <mergeCell ref="O48:Q48"/>
    <mergeCell ref="P39:Q39"/>
    <mergeCell ref="K40:L40"/>
    <mergeCell ref="N40:O40"/>
    <mergeCell ref="K41:L41"/>
    <mergeCell ref="N41:O41"/>
    <mergeCell ref="K42:L42"/>
    <mergeCell ref="N42:O42"/>
    <mergeCell ref="P42:Q42"/>
  </mergeCells>
  <pageMargins left="0.23622047244094491" right="0.23622047244094491" top="0.39370078740157483" bottom="0.74803149606299213" header="0.31496062992125984" footer="0.31496062992125984"/>
  <pageSetup paperSize="5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9A57D1AED29941ACBF21D8C4A8CB3E" ma:contentTypeVersion="12" ma:contentTypeDescription="Create a new document." ma:contentTypeScope="" ma:versionID="12f5fe0cb3fecc69b6c7c0bdad0e6b35">
  <xsd:schema xmlns:xsd="http://www.w3.org/2001/XMLSchema" xmlns:xs="http://www.w3.org/2001/XMLSchema" xmlns:p="http://schemas.microsoft.com/office/2006/metadata/properties" xmlns:ns2="55966ea1-fe58-4218-b628-0018c859dab0" xmlns:ns3="48c94ed0-3c20-4b8e-8119-053507d1e0d0" targetNamespace="http://schemas.microsoft.com/office/2006/metadata/properties" ma:root="true" ma:fieldsID="6de8d4e352fd73662383dbaa40eda72b" ns2:_="" ns3:_="">
    <xsd:import namespace="55966ea1-fe58-4218-b628-0018c859dab0"/>
    <xsd:import namespace="48c94ed0-3c20-4b8e-8119-053507d1e0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966ea1-fe58-4218-b628-0018c859d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3ecd6dd-7a73-4453-9500-d28893ef66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94ed0-3c20-4b8e-8119-053507d1e0d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b3de1ab-db7a-47b7-8840-27a09ebaf4c1}" ma:internalName="TaxCatchAll" ma:showField="CatchAllData" ma:web="48c94ed0-3c20-4b8e-8119-053507d1e0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966ea1-fe58-4218-b628-0018c859dab0">
      <Terms xmlns="http://schemas.microsoft.com/office/infopath/2007/PartnerControls"/>
    </lcf76f155ced4ddcb4097134ff3c332f>
    <TaxCatchAll xmlns="48c94ed0-3c20-4b8e-8119-053507d1e0d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A7928A-0876-4043-9017-313158E82D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966ea1-fe58-4218-b628-0018c859dab0"/>
    <ds:schemaRef ds:uri="48c94ed0-3c20-4b8e-8119-053507d1e0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2385F5-5676-4D74-AD4A-8D52BAFA360A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48c94ed0-3c20-4b8e-8119-053507d1e0d0"/>
    <ds:schemaRef ds:uri="http://schemas.openxmlformats.org/package/2006/metadata/core-properties"/>
    <ds:schemaRef ds:uri="55966ea1-fe58-4218-b628-0018c859dab0"/>
    <ds:schemaRef ds:uri="http://purl.org/dc/dcmitype/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7087E3B-E5D5-4974-9538-4747EEEF97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5</vt:i4>
      </vt:variant>
    </vt:vector>
  </HeadingPairs>
  <TitlesOfParts>
    <vt:vector size="22" baseType="lpstr">
      <vt:lpstr>Pricelist Standard</vt:lpstr>
      <vt:lpstr>Pricelist Step up</vt:lpstr>
      <vt:lpstr>FORM</vt:lpstr>
      <vt:lpstr>All Out Promo</vt:lpstr>
      <vt:lpstr>LMF - HOUSE &amp; LOT</vt:lpstr>
      <vt:lpstr>LMF - LOT ONLY</vt:lpstr>
      <vt:lpstr>SPC San Diego A</vt:lpstr>
      <vt:lpstr>SPC San Diego B</vt:lpstr>
      <vt:lpstr>SPC San Diego C</vt:lpstr>
      <vt:lpstr>SPC San Esteban A</vt:lpstr>
      <vt:lpstr>SPC San Esteban B</vt:lpstr>
      <vt:lpstr>Standard Computation</vt:lpstr>
      <vt:lpstr>SPC Pine Road A</vt:lpstr>
      <vt:lpstr>Step Up Computation</vt:lpstr>
      <vt:lpstr>Spot Cash 30 Days</vt:lpstr>
      <vt:lpstr>Spot Cash 60 Days</vt:lpstr>
      <vt:lpstr>SPECIAL Computation</vt:lpstr>
      <vt:lpstr>'SPECIAL Computation'!Print_Area</vt:lpstr>
      <vt:lpstr>'Spot Cash 30 Days'!Print_Area</vt:lpstr>
      <vt:lpstr>'Spot Cash 60 Days'!Print_Area</vt:lpstr>
      <vt:lpstr>'Standard Computation'!Print_Area</vt:lpstr>
      <vt:lpstr>'Step Up Computation'!Print_Area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Shiela Oaman</dc:creator>
  <cp:keywords/>
  <dc:description/>
  <cp:lastModifiedBy>Jose De Leon</cp:lastModifiedBy>
  <cp:revision/>
  <cp:lastPrinted>2025-07-11T14:55:35Z</cp:lastPrinted>
  <dcterms:created xsi:type="dcterms:W3CDTF">2021-10-20T05:44:02Z</dcterms:created>
  <dcterms:modified xsi:type="dcterms:W3CDTF">2025-07-11T14:57:24Z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0x010100BF9A57D1AED29941ACBF21D8C4A8CB3E</vt:lpwstr>
  </property>
  <property fmtid="{D5CDD505-2E9C-101B-9397-08002B2CF9AE}" pid="3" name="MediaServiceImageTags">
    <vt:lpwstr/>
  </property>
</Properties>
</file>